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Pieter Burger - Werk\Landbou\Masjineriekoste\Weskaap Graangids\Graangids 2017\"/>
    </mc:Choice>
  </mc:AlternateContent>
  <bookViews>
    <workbookView xWindow="0" yWindow="0" windowWidth="20490" windowHeight="9045" tabRatio="875"/>
  </bookViews>
  <sheets>
    <sheet name="Voor" sheetId="60" r:id="rId1"/>
    <sheet name="Inhoud" sheetId="62" r:id="rId2"/>
    <sheet name="Voorwrd" sheetId="66" r:id="rId3"/>
    <sheet name="Aannames" sheetId="41" r:id="rId4"/>
    <sheet name="Trekkers" sheetId="28" r:id="rId5"/>
    <sheet name="Self-Aangedrewe" sheetId="36" r:id="rId6"/>
    <sheet name="Implemente &amp; Waens" sheetId="30" r:id="rId7"/>
    <sheet name="Bakkies &amp; Vragmotors" sheetId="39" r:id="rId8"/>
    <sheet name="Werkblad (1)" sheetId="73" r:id="rId9"/>
  </sheets>
  <definedNames>
    <definedName name="Diesel.Gebruik">Aannames!$F$58</definedName>
    <definedName name="Diesel.Handel">Aannames!$F$60</definedName>
    <definedName name="Diesel.Korting.Sent">Aannames!$F$61</definedName>
    <definedName name="Diesel.NaKorting">Aannames!$F$62</definedName>
    <definedName name="kWperPK">Aannames!$E$23</definedName>
    <definedName name="MeterPerVoet">Aannames!$E$24</definedName>
    <definedName name="Olie.20liter">Aannames!$F$64</definedName>
    <definedName name="Petrol.Handel" localSheetId="8">Aannames!#REF!</definedName>
    <definedName name="Petrol.Handel">Aannames!#REF!</definedName>
    <definedName name="PKperKW">Aannames!$H$23</definedName>
    <definedName name="_xlnm.Print_Area" localSheetId="3">Aannames!$A$1:$Q$50</definedName>
    <definedName name="_xlnm.Print_Area" localSheetId="7">'Bakkies &amp; Vragmotors'!$B$1:$U$341</definedName>
    <definedName name="_xlnm.Print_Area" localSheetId="6">'Implemente &amp; Waens'!$B$1:$P$685</definedName>
    <definedName name="_xlnm.Print_Area" localSheetId="1">Inhoud!$B:$O</definedName>
    <definedName name="_xlnm.Print_Area" localSheetId="5">'Self-Aangedrewe'!$B$1:$S$314</definedName>
    <definedName name="_xlnm.Print_Area" localSheetId="4">Trekkers!$B$1:$U$155</definedName>
    <definedName name="_xlnm.Print_Area" localSheetId="0">Voor!$1:$35</definedName>
    <definedName name="_xlnm.Print_Area" localSheetId="2">Voorwrd!$A:$Q</definedName>
    <definedName name="_xlnm.Print_Area" localSheetId="8">'Werkblad (1)'!$B$2:$V$71</definedName>
    <definedName name="Print_Area_MI" localSheetId="7">'Bakkies &amp; Vragmotors'!$F$285:$F$286</definedName>
    <definedName name="Print_Area_MI">'Implemente &amp; Waens'!$F$64:$F$190</definedName>
    <definedName name="_xlnm.Print_Titles" localSheetId="3">Aannames!$1:$3</definedName>
    <definedName name="_xlnm.Print_Titles" localSheetId="7">'Bakkies &amp; Vragmotors'!$1:$8</definedName>
    <definedName name="_xlnm.Print_Titles" localSheetId="6">'Implemente &amp; Waens'!$1:$7</definedName>
    <definedName name="_xlnm.Print_Titles" localSheetId="5">'Self-Aangedrewe'!$1:$8</definedName>
    <definedName name="_xlnm.Print_Titles" localSheetId="4">Trekkers!$1:$8</definedName>
    <definedName name="_xlnm.Print_Titles" localSheetId="8">'Werkblad (1)'!$B:$J</definedName>
    <definedName name="Rente.Perc">Aannames!$F$56</definedName>
    <definedName name="Skroot.Perc">Aannames!$F$55</definedName>
    <definedName name="VoetperMeter">Aannames!$H$24</definedName>
  </definedNames>
  <calcPr calcId="152511" calcMode="manual"/>
</workbook>
</file>

<file path=xl/calcChain.xml><?xml version="1.0" encoding="utf-8"?>
<calcChain xmlns="http://schemas.openxmlformats.org/spreadsheetml/2006/main">
  <c r="I20" i="73" l="1"/>
  <c r="E7" i="73" l="1"/>
  <c r="A236" i="39" l="1"/>
  <c r="A234" i="39"/>
  <c r="A204" i="39"/>
  <c r="A202" i="39"/>
  <c r="A171" i="39"/>
  <c r="A169" i="39"/>
  <c r="A130" i="39"/>
  <c r="A128" i="39"/>
  <c r="A87" i="39"/>
  <c r="A85" i="39"/>
  <c r="A45" i="39"/>
  <c r="A43" i="39"/>
  <c r="P303" i="39" l="1"/>
  <c r="P302" i="39"/>
  <c r="P301" i="39"/>
  <c r="P300" i="39"/>
  <c r="P299" i="39"/>
  <c r="A307" i="30"/>
  <c r="A306" i="30"/>
  <c r="A305" i="30"/>
  <c r="A304" i="30"/>
  <c r="A47" i="30" l="1"/>
  <c r="A50" i="30"/>
  <c r="P49" i="30"/>
  <c r="A49" i="30"/>
  <c r="A48" i="30"/>
  <c r="A37" i="28"/>
  <c r="A77" i="28" l="1"/>
  <c r="F58" i="41" l="1"/>
  <c r="AB244" i="39"/>
  <c r="Q244" i="39"/>
  <c r="J244" i="39"/>
  <c r="A244" i="39"/>
  <c r="AB243" i="39"/>
  <c r="Q243" i="39"/>
  <c r="J243" i="39"/>
  <c r="A243" i="39"/>
  <c r="AB242" i="39"/>
  <c r="Q242" i="39"/>
  <c r="J242" i="39"/>
  <c r="A242" i="39"/>
  <c r="AB241" i="39"/>
  <c r="Q241" i="39"/>
  <c r="J241" i="39"/>
  <c r="A241" i="39"/>
  <c r="AB240" i="39"/>
  <c r="Q240" i="39"/>
  <c r="J240" i="39"/>
  <c r="A240" i="39"/>
  <c r="AB239" i="39"/>
  <c r="Q239" i="39"/>
  <c r="J239" i="39"/>
  <c r="A239" i="39"/>
  <c r="AB238" i="39"/>
  <c r="Q238" i="39"/>
  <c r="J238" i="39"/>
  <c r="A238" i="39"/>
  <c r="AB250" i="39"/>
  <c r="Q250" i="39"/>
  <c r="J250" i="39"/>
  <c r="A250" i="39"/>
  <c r="AB249" i="39"/>
  <c r="Q249" i="39"/>
  <c r="J249" i="39"/>
  <c r="A249" i="39"/>
  <c r="AB248" i="39"/>
  <c r="Q248" i="39"/>
  <c r="J248" i="39"/>
  <c r="A248" i="39"/>
  <c r="AB247" i="39"/>
  <c r="Q247" i="39"/>
  <c r="J247" i="39"/>
  <c r="A247" i="39"/>
  <c r="AB246" i="39"/>
  <c r="Q246" i="39"/>
  <c r="J246" i="39"/>
  <c r="A246" i="39"/>
  <c r="AB245" i="39"/>
  <c r="Q245" i="39"/>
  <c r="J245" i="39"/>
  <c r="A245" i="39"/>
  <c r="AB225" i="39"/>
  <c r="Q225" i="39"/>
  <c r="J225" i="39"/>
  <c r="P225" i="39" s="1"/>
  <c r="A225" i="39"/>
  <c r="AB224" i="39"/>
  <c r="Q224" i="39"/>
  <c r="J224" i="39"/>
  <c r="A224" i="39"/>
  <c r="AB223" i="39"/>
  <c r="Q223" i="39"/>
  <c r="J223" i="39"/>
  <c r="A223" i="39"/>
  <c r="AB222" i="39"/>
  <c r="Q222" i="39"/>
  <c r="J222" i="39"/>
  <c r="A222" i="39"/>
  <c r="AB221" i="39"/>
  <c r="Q221" i="39"/>
  <c r="J221" i="39"/>
  <c r="A221" i="39"/>
  <c r="AB220" i="39"/>
  <c r="Q220" i="39"/>
  <c r="J220" i="39"/>
  <c r="A220" i="39"/>
  <c r="AB219" i="39"/>
  <c r="Q219" i="39"/>
  <c r="J219" i="39"/>
  <c r="A219" i="39"/>
  <c r="AB218" i="39"/>
  <c r="Q218" i="39"/>
  <c r="J218" i="39"/>
  <c r="A218" i="39"/>
  <c r="AB217" i="39"/>
  <c r="Q217" i="39"/>
  <c r="J217" i="39"/>
  <c r="A217" i="39"/>
  <c r="AB216" i="39"/>
  <c r="Q216" i="39"/>
  <c r="J216" i="39"/>
  <c r="A216" i="39"/>
  <c r="AB215" i="39"/>
  <c r="Q215" i="39"/>
  <c r="J215" i="39"/>
  <c r="A215" i="39"/>
  <c r="AB214" i="39"/>
  <c r="Q214" i="39"/>
  <c r="J214" i="39"/>
  <c r="A214" i="39"/>
  <c r="AB213" i="39"/>
  <c r="Q213" i="39"/>
  <c r="J213" i="39"/>
  <c r="A213" i="39"/>
  <c r="AB212" i="39"/>
  <c r="Q212" i="39"/>
  <c r="J212" i="39"/>
  <c r="A212" i="39"/>
  <c r="AB211" i="39"/>
  <c r="Q211" i="39"/>
  <c r="J211" i="39"/>
  <c r="A211" i="39"/>
  <c r="AB210" i="39"/>
  <c r="Q210" i="39"/>
  <c r="J210" i="39"/>
  <c r="A210" i="39"/>
  <c r="AB209" i="39"/>
  <c r="Q209" i="39"/>
  <c r="J209" i="39"/>
  <c r="A209" i="39"/>
  <c r="AB208" i="39"/>
  <c r="Q208" i="39"/>
  <c r="J208" i="39"/>
  <c r="A208" i="39"/>
  <c r="AB207" i="39"/>
  <c r="Q207" i="39"/>
  <c r="J207" i="39"/>
  <c r="A207" i="39"/>
  <c r="AB206" i="39"/>
  <c r="Q206" i="39"/>
  <c r="J206" i="39"/>
  <c r="A206" i="39"/>
  <c r="AB127" i="39"/>
  <c r="Q127" i="39"/>
  <c r="J127" i="39"/>
  <c r="A127" i="39"/>
  <c r="AB126" i="39"/>
  <c r="Q126" i="39"/>
  <c r="J126" i="39"/>
  <c r="A126" i="39"/>
  <c r="AB125" i="39"/>
  <c r="Q125" i="39"/>
  <c r="J125" i="39"/>
  <c r="A125" i="39"/>
  <c r="AB124" i="39"/>
  <c r="Q124" i="39"/>
  <c r="J124" i="39"/>
  <c r="A124" i="39"/>
  <c r="AB123" i="39"/>
  <c r="Q123" i="39"/>
  <c r="J123" i="39"/>
  <c r="A123" i="39"/>
  <c r="AB122" i="39"/>
  <c r="Q122" i="39"/>
  <c r="J122" i="39"/>
  <c r="A122" i="39"/>
  <c r="AB121" i="39"/>
  <c r="Q121" i="39"/>
  <c r="J121" i="39"/>
  <c r="A121" i="39"/>
  <c r="A120" i="39"/>
  <c r="AB192" i="39"/>
  <c r="Q192" i="39"/>
  <c r="J192" i="39"/>
  <c r="A192" i="39"/>
  <c r="AB191" i="39"/>
  <c r="Q191" i="39"/>
  <c r="J191" i="39"/>
  <c r="P191" i="39" s="1"/>
  <c r="A191" i="39"/>
  <c r="AB190" i="39"/>
  <c r="Q190" i="39"/>
  <c r="J190" i="39"/>
  <c r="A190" i="39"/>
  <c r="AB189" i="39"/>
  <c r="Q189" i="39"/>
  <c r="J189" i="39"/>
  <c r="A189" i="39"/>
  <c r="AB188" i="39"/>
  <c r="Q188" i="39"/>
  <c r="J188" i="39"/>
  <c r="A188" i="39"/>
  <c r="AB187" i="39"/>
  <c r="Q187" i="39"/>
  <c r="J187" i="39"/>
  <c r="A187" i="39"/>
  <c r="AB186" i="39"/>
  <c r="Q186" i="39"/>
  <c r="J186" i="39"/>
  <c r="A186" i="39"/>
  <c r="AB185" i="39"/>
  <c r="Q185" i="39"/>
  <c r="J185" i="39"/>
  <c r="P185" i="39" s="1"/>
  <c r="A185" i="39"/>
  <c r="AB184" i="39"/>
  <c r="Q184" i="39"/>
  <c r="J184" i="39"/>
  <c r="A184" i="39"/>
  <c r="AB183" i="39"/>
  <c r="Q183" i="39"/>
  <c r="J183" i="39"/>
  <c r="A183" i="39"/>
  <c r="AB182" i="39"/>
  <c r="Q182" i="39"/>
  <c r="J182" i="39"/>
  <c r="A182" i="39"/>
  <c r="AB181" i="39"/>
  <c r="Q181" i="39"/>
  <c r="J181" i="39"/>
  <c r="A181" i="39"/>
  <c r="AB180" i="39"/>
  <c r="Q180" i="39"/>
  <c r="J180" i="39"/>
  <c r="A180" i="39"/>
  <c r="AB168" i="39"/>
  <c r="Q168" i="39"/>
  <c r="J168" i="39"/>
  <c r="A168" i="39"/>
  <c r="AB167" i="39"/>
  <c r="Q167" i="39"/>
  <c r="J167" i="39"/>
  <c r="A167" i="39"/>
  <c r="AB166" i="39"/>
  <c r="Q166" i="39"/>
  <c r="J166" i="39"/>
  <c r="A166" i="39"/>
  <c r="AB165" i="39"/>
  <c r="Q165" i="39"/>
  <c r="J165" i="39"/>
  <c r="A165" i="39"/>
  <c r="AB164" i="39"/>
  <c r="Q164" i="39"/>
  <c r="J164" i="39"/>
  <c r="A164" i="39"/>
  <c r="AB163" i="39"/>
  <c r="Q163" i="39"/>
  <c r="J163" i="39"/>
  <c r="A163" i="39"/>
  <c r="AB162" i="39"/>
  <c r="Q162" i="39"/>
  <c r="J162" i="39"/>
  <c r="A162" i="39"/>
  <c r="AB161" i="39"/>
  <c r="Q161" i="39"/>
  <c r="J161" i="39"/>
  <c r="A161" i="39"/>
  <c r="AB160" i="39"/>
  <c r="Q160" i="39"/>
  <c r="J160" i="39"/>
  <c r="A160" i="39"/>
  <c r="AB159" i="39"/>
  <c r="Q159" i="39"/>
  <c r="J159" i="39"/>
  <c r="A159" i="39"/>
  <c r="A158" i="39"/>
  <c r="AB156" i="39"/>
  <c r="Q156" i="39"/>
  <c r="J156" i="39"/>
  <c r="A156" i="39"/>
  <c r="AB155" i="39"/>
  <c r="Q155" i="39"/>
  <c r="J155" i="39"/>
  <c r="A155" i="39"/>
  <c r="AB154" i="39"/>
  <c r="Q154" i="39"/>
  <c r="J154" i="39"/>
  <c r="A154" i="39"/>
  <c r="AB153" i="39"/>
  <c r="Q153" i="39"/>
  <c r="J153" i="39"/>
  <c r="A153" i="39"/>
  <c r="AB152" i="39"/>
  <c r="Q152" i="39"/>
  <c r="J152" i="39"/>
  <c r="A152" i="39"/>
  <c r="AB151" i="39"/>
  <c r="Q151" i="39"/>
  <c r="J151" i="39"/>
  <c r="A151" i="39"/>
  <c r="AB150" i="39"/>
  <c r="Q150" i="39"/>
  <c r="J150" i="39"/>
  <c r="A150" i="39"/>
  <c r="AB149" i="39"/>
  <c r="Q149" i="39"/>
  <c r="J149" i="39"/>
  <c r="A149" i="39"/>
  <c r="AB148" i="39"/>
  <c r="Q148" i="39"/>
  <c r="J148" i="39"/>
  <c r="A148" i="39"/>
  <c r="AB147" i="39"/>
  <c r="Q147" i="39"/>
  <c r="J147" i="39"/>
  <c r="A147" i="39"/>
  <c r="AB146" i="39"/>
  <c r="Q146" i="39"/>
  <c r="J146" i="39"/>
  <c r="A146" i="39"/>
  <c r="AB145" i="39"/>
  <c r="Q145" i="39"/>
  <c r="J145" i="39"/>
  <c r="A145" i="39"/>
  <c r="AB144" i="39"/>
  <c r="Q144" i="39"/>
  <c r="J144" i="39"/>
  <c r="A144" i="39"/>
  <c r="AB143" i="39"/>
  <c r="Q143" i="39"/>
  <c r="J143" i="39"/>
  <c r="A143" i="39"/>
  <c r="AB142" i="39"/>
  <c r="Q142" i="39"/>
  <c r="J142" i="39"/>
  <c r="A142" i="39"/>
  <c r="AB141" i="39"/>
  <c r="Q141" i="39"/>
  <c r="J141" i="39"/>
  <c r="A141" i="39"/>
  <c r="AB140" i="39"/>
  <c r="Q140" i="39"/>
  <c r="J140" i="39"/>
  <c r="A140" i="39"/>
  <c r="AB139" i="39"/>
  <c r="Q139" i="39"/>
  <c r="J139" i="39"/>
  <c r="A139" i="39"/>
  <c r="AB138" i="39"/>
  <c r="Q138" i="39"/>
  <c r="J138" i="39"/>
  <c r="A138" i="39"/>
  <c r="AB137" i="39"/>
  <c r="Q137" i="39"/>
  <c r="J137" i="39"/>
  <c r="A137" i="39"/>
  <c r="AB136" i="39"/>
  <c r="Q136" i="39"/>
  <c r="J136" i="39"/>
  <c r="A136" i="39"/>
  <c r="AB135" i="39"/>
  <c r="Q135" i="39"/>
  <c r="J135" i="39"/>
  <c r="A135" i="39"/>
  <c r="AB134" i="39"/>
  <c r="Q134" i="39"/>
  <c r="J134" i="39"/>
  <c r="A134" i="39"/>
  <c r="AB133" i="39"/>
  <c r="Q133" i="39"/>
  <c r="J133" i="39"/>
  <c r="A133" i="39"/>
  <c r="AB132" i="39"/>
  <c r="Q132" i="39"/>
  <c r="J132" i="39"/>
  <c r="A132" i="39"/>
  <c r="A131" i="39"/>
  <c r="AB118" i="39"/>
  <c r="Q118" i="39"/>
  <c r="J118" i="39"/>
  <c r="A118" i="39"/>
  <c r="AB117" i="39"/>
  <c r="Q117" i="39"/>
  <c r="J117" i="39"/>
  <c r="A117" i="39"/>
  <c r="AB116" i="39"/>
  <c r="Q116" i="39"/>
  <c r="J116" i="39"/>
  <c r="A116" i="39"/>
  <c r="AB115" i="39"/>
  <c r="Q115" i="39"/>
  <c r="J115" i="39"/>
  <c r="A115" i="39"/>
  <c r="AB114" i="39"/>
  <c r="Q114" i="39"/>
  <c r="J114" i="39"/>
  <c r="A114" i="39"/>
  <c r="AB113" i="39"/>
  <c r="Q113" i="39"/>
  <c r="J113" i="39"/>
  <c r="A113" i="39"/>
  <c r="AB106" i="39"/>
  <c r="Q106" i="39"/>
  <c r="J106" i="39"/>
  <c r="A106" i="39"/>
  <c r="AB105" i="39"/>
  <c r="Q105" i="39"/>
  <c r="J105" i="39"/>
  <c r="A105" i="39"/>
  <c r="AB104" i="39"/>
  <c r="Q104" i="39"/>
  <c r="J104" i="39"/>
  <c r="A104" i="39"/>
  <c r="AB103" i="39"/>
  <c r="Q103" i="39"/>
  <c r="J103" i="39"/>
  <c r="A103" i="39"/>
  <c r="AB42" i="39"/>
  <c r="Q42" i="39"/>
  <c r="J42" i="39"/>
  <c r="A42" i="39"/>
  <c r="AB41" i="39"/>
  <c r="Q41" i="39"/>
  <c r="J41" i="39"/>
  <c r="A41" i="39"/>
  <c r="AB40" i="39"/>
  <c r="Q40" i="39"/>
  <c r="J40" i="39"/>
  <c r="A40" i="39"/>
  <c r="AB39" i="39"/>
  <c r="Q39" i="39"/>
  <c r="J39" i="39"/>
  <c r="A39" i="39"/>
  <c r="AB38" i="39"/>
  <c r="Q38" i="39"/>
  <c r="J38" i="39"/>
  <c r="A38" i="39"/>
  <c r="AB37" i="39"/>
  <c r="Q37" i="39"/>
  <c r="J37" i="39"/>
  <c r="A37" i="39"/>
  <c r="AB36" i="39"/>
  <c r="Q36" i="39"/>
  <c r="J36" i="39"/>
  <c r="A36" i="39"/>
  <c r="AB35" i="39"/>
  <c r="Q35" i="39"/>
  <c r="J35" i="39"/>
  <c r="A35" i="39"/>
  <c r="AB34" i="39"/>
  <c r="Q34" i="39"/>
  <c r="J34" i="39"/>
  <c r="A34" i="39"/>
  <c r="AB33" i="39"/>
  <c r="Q33" i="39"/>
  <c r="J33" i="39"/>
  <c r="A33" i="39"/>
  <c r="AB32" i="39"/>
  <c r="Q32" i="39"/>
  <c r="J32" i="39"/>
  <c r="A32" i="39"/>
  <c r="AB31" i="39"/>
  <c r="Q31" i="39"/>
  <c r="J31" i="39"/>
  <c r="A31" i="39"/>
  <c r="AB30" i="39"/>
  <c r="Q30" i="39"/>
  <c r="J30" i="39"/>
  <c r="A30" i="39"/>
  <c r="AB29" i="39"/>
  <c r="Q29" i="39"/>
  <c r="J29" i="39"/>
  <c r="A29" i="39"/>
  <c r="A28" i="39"/>
  <c r="AB26" i="39"/>
  <c r="Q26" i="39"/>
  <c r="J26" i="39"/>
  <c r="A26" i="39"/>
  <c r="AB25" i="39"/>
  <c r="Q25" i="39"/>
  <c r="J25" i="39"/>
  <c r="A25" i="39"/>
  <c r="AB24" i="39"/>
  <c r="Q24" i="39"/>
  <c r="J24" i="39"/>
  <c r="A24" i="39"/>
  <c r="AB23" i="39"/>
  <c r="Q23" i="39"/>
  <c r="J23" i="39"/>
  <c r="A23" i="39"/>
  <c r="AB22" i="39"/>
  <c r="Q22" i="39"/>
  <c r="J22" i="39"/>
  <c r="A22" i="39"/>
  <c r="AB21" i="39"/>
  <c r="Q21" i="39"/>
  <c r="J21" i="39"/>
  <c r="A21" i="39"/>
  <c r="AB20" i="39"/>
  <c r="Q20" i="39"/>
  <c r="J20" i="39"/>
  <c r="A20" i="39"/>
  <c r="AB19" i="39"/>
  <c r="Q19" i="39"/>
  <c r="J19" i="39"/>
  <c r="A19" i="39"/>
  <c r="A18" i="39"/>
  <c r="AB84" i="39"/>
  <c r="Q84" i="39"/>
  <c r="J84" i="39"/>
  <c r="A84" i="39"/>
  <c r="AB83" i="39"/>
  <c r="Q83" i="39"/>
  <c r="J83" i="39"/>
  <c r="A83" i="39"/>
  <c r="AB82" i="39"/>
  <c r="Q82" i="39"/>
  <c r="J82" i="39"/>
  <c r="A82" i="39"/>
  <c r="AB81" i="39"/>
  <c r="Q81" i="39"/>
  <c r="J81" i="39"/>
  <c r="A81" i="39"/>
  <c r="AB80" i="39"/>
  <c r="Q80" i="39"/>
  <c r="J80" i="39"/>
  <c r="A80" i="39"/>
  <c r="AB79" i="39"/>
  <c r="Q79" i="39"/>
  <c r="J79" i="39"/>
  <c r="A79" i="39"/>
  <c r="AB78" i="39"/>
  <c r="Q78" i="39"/>
  <c r="J78" i="39"/>
  <c r="A78" i="39"/>
  <c r="AB77" i="39"/>
  <c r="Q77" i="39"/>
  <c r="J77" i="39"/>
  <c r="A77" i="39"/>
  <c r="AB76" i="39"/>
  <c r="Q76" i="39"/>
  <c r="J76" i="39"/>
  <c r="A76" i="39"/>
  <c r="AB16" i="39"/>
  <c r="Q16" i="39"/>
  <c r="J16" i="39"/>
  <c r="A16" i="39"/>
  <c r="AB15" i="39"/>
  <c r="Q15" i="39"/>
  <c r="J15" i="39"/>
  <c r="A15" i="39"/>
  <c r="AB14" i="39"/>
  <c r="Q14" i="39"/>
  <c r="J14" i="39"/>
  <c r="P14" i="39" s="1"/>
  <c r="A14" i="39"/>
  <c r="A13" i="39"/>
  <c r="N644" i="30"/>
  <c r="M644" i="30"/>
  <c r="A644" i="30"/>
  <c r="N550" i="30"/>
  <c r="M550" i="30"/>
  <c r="A550" i="30"/>
  <c r="N506" i="30"/>
  <c r="M506" i="30"/>
  <c r="A506" i="30"/>
  <c r="U368" i="30"/>
  <c r="N368" i="30"/>
  <c r="M368" i="30"/>
  <c r="A368" i="30"/>
  <c r="U367" i="30"/>
  <c r="N367" i="30"/>
  <c r="M367" i="30"/>
  <c r="A367" i="30"/>
  <c r="N361" i="30"/>
  <c r="M361" i="30"/>
  <c r="A361" i="30"/>
  <c r="N360" i="30"/>
  <c r="M360" i="30"/>
  <c r="A360" i="30"/>
  <c r="N359" i="30"/>
  <c r="M359" i="30"/>
  <c r="A359" i="30"/>
  <c r="N358" i="30"/>
  <c r="M358" i="30"/>
  <c r="A358" i="30"/>
  <c r="N357" i="30"/>
  <c r="M357" i="30"/>
  <c r="A357" i="30"/>
  <c r="N356" i="30"/>
  <c r="M356" i="30"/>
  <c r="A356" i="30"/>
  <c r="N355" i="30"/>
  <c r="M355" i="30"/>
  <c r="O355" i="30" s="1"/>
  <c r="A355" i="30"/>
  <c r="A339" i="30"/>
  <c r="A338" i="30"/>
  <c r="N337" i="30"/>
  <c r="M337" i="30"/>
  <c r="A337" i="30"/>
  <c r="N336" i="30"/>
  <c r="M336" i="30"/>
  <c r="A336" i="30"/>
  <c r="N335" i="30"/>
  <c r="M335" i="30"/>
  <c r="A335" i="30"/>
  <c r="A333" i="30"/>
  <c r="A332" i="30"/>
  <c r="N257" i="30"/>
  <c r="M257" i="30"/>
  <c r="A257" i="30"/>
  <c r="N256" i="30"/>
  <c r="M256" i="30"/>
  <c r="A256" i="30"/>
  <c r="N206" i="30"/>
  <c r="M206" i="30"/>
  <c r="A206" i="30"/>
  <c r="U188" i="30"/>
  <c r="N188" i="30"/>
  <c r="M188" i="30"/>
  <c r="A188" i="30"/>
  <c r="U77" i="30"/>
  <c r="U84" i="30"/>
  <c r="U83" i="30"/>
  <c r="N84" i="30"/>
  <c r="M84" i="30"/>
  <c r="A84" i="30"/>
  <c r="N83" i="30"/>
  <c r="A83" i="30"/>
  <c r="N77" i="30"/>
  <c r="M77" i="30"/>
  <c r="A77" i="30"/>
  <c r="O644" i="30" l="1"/>
  <c r="O206" i="30"/>
  <c r="O367" i="30"/>
  <c r="O360" i="30"/>
  <c r="O506" i="30"/>
  <c r="O368" i="30"/>
  <c r="O550" i="30"/>
  <c r="P206" i="39"/>
  <c r="O356" i="30"/>
  <c r="O358" i="30"/>
  <c r="O337" i="30"/>
  <c r="O359" i="30"/>
  <c r="O357" i="30"/>
  <c r="O361" i="30"/>
  <c r="O336" i="30"/>
  <c r="O256" i="30"/>
  <c r="O257" i="30"/>
  <c r="O335" i="30"/>
  <c r="O77" i="30"/>
  <c r="O188" i="30"/>
  <c r="O84" i="30"/>
  <c r="M83" i="30"/>
  <c r="O83" i="30" s="1"/>
  <c r="F11" i="28" l="1"/>
  <c r="N232" i="36" l="1"/>
  <c r="O232" i="36" s="1"/>
  <c r="N231" i="36"/>
  <c r="O231" i="36" s="1"/>
  <c r="C231" i="36"/>
  <c r="D231" i="36" s="1"/>
  <c r="C232" i="36"/>
  <c r="D232" i="36" s="1"/>
  <c r="C233" i="36"/>
  <c r="D233" i="36" s="1"/>
  <c r="G231" i="36"/>
  <c r="H231" i="36" s="1"/>
  <c r="G232" i="36"/>
  <c r="H232" i="36" s="1"/>
  <c r="G233" i="36"/>
  <c r="H233" i="36" s="1"/>
  <c r="G234" i="36"/>
  <c r="H234" i="36" s="1"/>
  <c r="A226" i="36"/>
  <c r="A225" i="36"/>
  <c r="K36" i="73" l="1"/>
  <c r="K34" i="73"/>
  <c r="AD62" i="73"/>
  <c r="AE62" i="73"/>
  <c r="AG62" i="73"/>
  <c r="X63" i="73"/>
  <c r="Y63" i="73"/>
  <c r="Z63" i="73"/>
  <c r="AA63" i="73"/>
  <c r="AB63" i="73"/>
  <c r="AD63" i="73"/>
  <c r="AE63" i="73"/>
  <c r="AF63" i="73"/>
  <c r="AG63" i="73"/>
  <c r="AH63" i="73"/>
  <c r="AD76" i="73"/>
  <c r="AE76" i="73"/>
  <c r="X77" i="73"/>
  <c r="Y77" i="73"/>
  <c r="Z77" i="73"/>
  <c r="AA77" i="73"/>
  <c r="AB77" i="73"/>
  <c r="AD77" i="73"/>
  <c r="AE77" i="73"/>
  <c r="AF78" i="73"/>
  <c r="AF79" i="73"/>
  <c r="AF80" i="73"/>
  <c r="AF81" i="73"/>
  <c r="AF82" i="73"/>
  <c r="AF83" i="73"/>
  <c r="AF84" i="73"/>
  <c r="AF85" i="73"/>
  <c r="AF86" i="73"/>
  <c r="AF87" i="73"/>
  <c r="AE92" i="73"/>
  <c r="AF93" i="73"/>
  <c r="AF94" i="73"/>
  <c r="AF95" i="73"/>
  <c r="AF96" i="73"/>
  <c r="AF97" i="73"/>
  <c r="AF98" i="73"/>
  <c r="AF99" i="73"/>
  <c r="AF100" i="73"/>
  <c r="AF101" i="73"/>
  <c r="AF102" i="73"/>
  <c r="AF103" i="73"/>
  <c r="AD108" i="73"/>
  <c r="AE108" i="73"/>
  <c r="AD109" i="73"/>
  <c r="AE109" i="73"/>
  <c r="AF109" i="73"/>
  <c r="AF110" i="73"/>
  <c r="AF111" i="73"/>
  <c r="AF112" i="73"/>
  <c r="AF113" i="73"/>
  <c r="AF114" i="73"/>
  <c r="AF115" i="73"/>
  <c r="AF116" i="73"/>
  <c r="AF117" i="73"/>
  <c r="AF118" i="73"/>
  <c r="AF119" i="73"/>
  <c r="AF120" i="73"/>
  <c r="AF121" i="73"/>
  <c r="AF122" i="73"/>
  <c r="AF123" i="73"/>
  <c r="AF124" i="73"/>
  <c r="AF125" i="73"/>
  <c r="F38" i="28" l="1"/>
  <c r="J25" i="73" l="1"/>
  <c r="BO55" i="73" l="1"/>
  <c r="BN55" i="73"/>
  <c r="BM55" i="73"/>
  <c r="BK55" i="73"/>
  <c r="BJ55" i="73"/>
  <c r="BI55" i="73"/>
  <c r="BE55" i="73"/>
  <c r="BD55" i="73"/>
  <c r="BC55" i="73"/>
  <c r="BA55" i="73"/>
  <c r="AZ55" i="73"/>
  <c r="AX55" i="73"/>
  <c r="AW55" i="73"/>
  <c r="O55" i="73"/>
  <c r="N55" i="73"/>
  <c r="AF55" i="73" s="1"/>
  <c r="J55" i="73"/>
  <c r="G55" i="73"/>
  <c r="F55" i="73"/>
  <c r="E55" i="73"/>
  <c r="BO54" i="73"/>
  <c r="BN54" i="73"/>
  <c r="BM54" i="73"/>
  <c r="BK54" i="73"/>
  <c r="BJ54" i="73"/>
  <c r="BI54" i="73"/>
  <c r="BE54" i="73"/>
  <c r="BD54" i="73"/>
  <c r="BC54" i="73"/>
  <c r="BA54" i="73"/>
  <c r="AZ54" i="73"/>
  <c r="AX54" i="73"/>
  <c r="AW54" i="73"/>
  <c r="O54" i="73"/>
  <c r="N54" i="73"/>
  <c r="AF54" i="73" s="1"/>
  <c r="J54" i="73"/>
  <c r="G54" i="73"/>
  <c r="F54" i="73"/>
  <c r="E54" i="73"/>
  <c r="BO53" i="73"/>
  <c r="BN53" i="73"/>
  <c r="BM53" i="73"/>
  <c r="BK53" i="73"/>
  <c r="BJ53" i="73"/>
  <c r="BI53" i="73"/>
  <c r="BE53" i="73"/>
  <c r="BD53" i="73"/>
  <c r="BC53" i="73"/>
  <c r="BA53" i="73"/>
  <c r="AZ53" i="73"/>
  <c r="AX53" i="73"/>
  <c r="AW53" i="73"/>
  <c r="O53" i="73"/>
  <c r="N53" i="73"/>
  <c r="AF53" i="73" s="1"/>
  <c r="J53" i="73"/>
  <c r="G53" i="73"/>
  <c r="F53" i="73"/>
  <c r="E53" i="73"/>
  <c r="BO52" i="73"/>
  <c r="BN52" i="73"/>
  <c r="BM52" i="73"/>
  <c r="BK52" i="73"/>
  <c r="BJ52" i="73"/>
  <c r="BI52" i="73"/>
  <c r="BE52" i="73"/>
  <c r="BD52" i="73"/>
  <c r="BC52" i="73"/>
  <c r="BA52" i="73"/>
  <c r="AZ52" i="73"/>
  <c r="AX52" i="73"/>
  <c r="AW52" i="73"/>
  <c r="O52" i="73"/>
  <c r="N52" i="73"/>
  <c r="AF52" i="73" s="1"/>
  <c r="J52" i="73"/>
  <c r="G52" i="73"/>
  <c r="F52" i="73"/>
  <c r="E52" i="73"/>
  <c r="BO51" i="73"/>
  <c r="BN51" i="73"/>
  <c r="BM51" i="73"/>
  <c r="BK51" i="73"/>
  <c r="BJ51" i="73"/>
  <c r="BI51" i="73"/>
  <c r="BE51" i="73"/>
  <c r="BD51" i="73"/>
  <c r="BC51" i="73"/>
  <c r="BA51" i="73"/>
  <c r="AZ51" i="73"/>
  <c r="AX51" i="73"/>
  <c r="AW51" i="73"/>
  <c r="O51" i="73"/>
  <c r="N51" i="73"/>
  <c r="AF51" i="73" s="1"/>
  <c r="J51" i="73"/>
  <c r="G51" i="73"/>
  <c r="F51" i="73"/>
  <c r="E51" i="73"/>
  <c r="BO50" i="73"/>
  <c r="BN50" i="73"/>
  <c r="BM50" i="73"/>
  <c r="BK50" i="73"/>
  <c r="BJ50" i="73"/>
  <c r="BI50" i="73"/>
  <c r="BE50" i="73"/>
  <c r="BD50" i="73"/>
  <c r="BC50" i="73"/>
  <c r="BA50" i="73"/>
  <c r="AZ50" i="73"/>
  <c r="AX50" i="73"/>
  <c r="AW50" i="73"/>
  <c r="O50" i="73"/>
  <c r="N50" i="73"/>
  <c r="AF50" i="73" s="1"/>
  <c r="J50" i="73"/>
  <c r="G50" i="73"/>
  <c r="F50" i="73"/>
  <c r="E50" i="73"/>
  <c r="BO49" i="73"/>
  <c r="BN49" i="73"/>
  <c r="BM49" i="73"/>
  <c r="BK49" i="73"/>
  <c r="BJ49" i="73"/>
  <c r="BI49" i="73"/>
  <c r="BE49" i="73"/>
  <c r="BD49" i="73"/>
  <c r="BC49" i="73"/>
  <c r="BA49" i="73"/>
  <c r="AZ49" i="73"/>
  <c r="AX49" i="73"/>
  <c r="AW49" i="73"/>
  <c r="O49" i="73"/>
  <c r="N49" i="73"/>
  <c r="AF49" i="73" s="1"/>
  <c r="J49" i="73"/>
  <c r="G49" i="73"/>
  <c r="F49" i="73"/>
  <c r="E49" i="73"/>
  <c r="BI48" i="73"/>
  <c r="BA48" i="73"/>
  <c r="AW48" i="73"/>
  <c r="O48" i="73"/>
  <c r="N48" i="73"/>
  <c r="AF48" i="73" s="1"/>
  <c r="BI47" i="73"/>
  <c r="BA47" i="73"/>
  <c r="AW47" i="73"/>
  <c r="O47" i="73"/>
  <c r="N47" i="73"/>
  <c r="AF47" i="73" s="1"/>
  <c r="BA46" i="73"/>
  <c r="O46" i="73"/>
  <c r="N46" i="73"/>
  <c r="AF46" i="73" s="1"/>
  <c r="BA45" i="73"/>
  <c r="O45" i="73"/>
  <c r="N45" i="73"/>
  <c r="AF45" i="73" s="1"/>
  <c r="BA44" i="73"/>
  <c r="O44" i="73"/>
  <c r="N44" i="73"/>
  <c r="AF44" i="73" s="1"/>
  <c r="BA43" i="73"/>
  <c r="O43" i="73"/>
  <c r="N43" i="73"/>
  <c r="AF43" i="73" s="1"/>
  <c r="BA42" i="73"/>
  <c r="O42" i="73"/>
  <c r="N42" i="73"/>
  <c r="AF42" i="73" s="1"/>
  <c r="BO125" i="73"/>
  <c r="BN125" i="73"/>
  <c r="BM125" i="73"/>
  <c r="BK125" i="73"/>
  <c r="BJ125" i="73"/>
  <c r="BI125" i="73"/>
  <c r="BE125" i="73"/>
  <c r="BD125" i="73"/>
  <c r="BC125" i="73"/>
  <c r="BA125" i="73"/>
  <c r="AZ125" i="73"/>
  <c r="AX125" i="73"/>
  <c r="AW125" i="73"/>
  <c r="AQ125" i="73"/>
  <c r="J125" i="73"/>
  <c r="G125" i="73"/>
  <c r="F125" i="73"/>
  <c r="E125" i="73"/>
  <c r="BO124" i="73"/>
  <c r="BN124" i="73"/>
  <c r="BM124" i="73"/>
  <c r="BK124" i="73"/>
  <c r="BJ124" i="73"/>
  <c r="BI124" i="73"/>
  <c r="BE124" i="73"/>
  <c r="BD124" i="73"/>
  <c r="BC124" i="73"/>
  <c r="BA124" i="73"/>
  <c r="AZ124" i="73"/>
  <c r="AX124" i="73"/>
  <c r="AW124" i="73"/>
  <c r="AQ124" i="73"/>
  <c r="J124" i="73"/>
  <c r="G124" i="73"/>
  <c r="F124" i="73"/>
  <c r="E124" i="73"/>
  <c r="BO123" i="73"/>
  <c r="BN123" i="73"/>
  <c r="BM123" i="73"/>
  <c r="BK123" i="73"/>
  <c r="BJ123" i="73"/>
  <c r="BI123" i="73"/>
  <c r="BE123" i="73"/>
  <c r="BD123" i="73"/>
  <c r="BC123" i="73"/>
  <c r="BA123" i="73"/>
  <c r="AZ123" i="73"/>
  <c r="AX123" i="73"/>
  <c r="AW123" i="73"/>
  <c r="AQ123" i="73"/>
  <c r="J123" i="73"/>
  <c r="G123" i="73"/>
  <c r="F123" i="73"/>
  <c r="E123" i="73"/>
  <c r="BO122" i="73"/>
  <c r="BN122" i="73"/>
  <c r="BM122" i="73"/>
  <c r="BK122" i="73"/>
  <c r="BJ122" i="73"/>
  <c r="BI122" i="73"/>
  <c r="BE122" i="73"/>
  <c r="BD122" i="73"/>
  <c r="BC122" i="73"/>
  <c r="BA122" i="73"/>
  <c r="AZ122" i="73"/>
  <c r="AX122" i="73"/>
  <c r="AW122" i="73"/>
  <c r="AQ122" i="73"/>
  <c r="J122" i="73"/>
  <c r="G122" i="73"/>
  <c r="F122" i="73"/>
  <c r="E122" i="73"/>
  <c r="BO121" i="73"/>
  <c r="BN121" i="73"/>
  <c r="BM121" i="73"/>
  <c r="BK121" i="73"/>
  <c r="BJ121" i="73"/>
  <c r="BI121" i="73"/>
  <c r="BE121" i="73"/>
  <c r="BD121" i="73"/>
  <c r="BC121" i="73"/>
  <c r="BA121" i="73"/>
  <c r="AZ121" i="73"/>
  <c r="AX121" i="73"/>
  <c r="AW121" i="73"/>
  <c r="AQ121" i="73"/>
  <c r="J121" i="73"/>
  <c r="G121" i="73"/>
  <c r="F121" i="73"/>
  <c r="E121" i="73"/>
  <c r="BO120" i="73"/>
  <c r="BN120" i="73"/>
  <c r="BM120" i="73"/>
  <c r="BK120" i="73"/>
  <c r="BJ120" i="73"/>
  <c r="BI120" i="73"/>
  <c r="BE120" i="73"/>
  <c r="BD120" i="73"/>
  <c r="BC120" i="73"/>
  <c r="BA120" i="73"/>
  <c r="AZ120" i="73"/>
  <c r="AX120" i="73"/>
  <c r="AW120" i="73"/>
  <c r="AQ120" i="73"/>
  <c r="J120" i="73"/>
  <c r="G120" i="73"/>
  <c r="F120" i="73"/>
  <c r="E120" i="73"/>
  <c r="BA119" i="73"/>
  <c r="BA118" i="73"/>
  <c r="BA117" i="73"/>
  <c r="BA116" i="73"/>
  <c r="BE115" i="73"/>
  <c r="BD115" i="73"/>
  <c r="BC115" i="73"/>
  <c r="BA115" i="73"/>
  <c r="AZ115" i="73"/>
  <c r="AX115" i="73"/>
  <c r="AW115" i="73"/>
  <c r="G115" i="73"/>
  <c r="F115" i="73"/>
  <c r="E115" i="73"/>
  <c r="BA114" i="73"/>
  <c r="BA113" i="73"/>
  <c r="BA112" i="73"/>
  <c r="BA111" i="73"/>
  <c r="BA110" i="73"/>
  <c r="BQ109" i="73"/>
  <c r="BP109" i="73"/>
  <c r="BO109" i="73"/>
  <c r="BN109" i="73"/>
  <c r="BM109" i="73"/>
  <c r="BL109" i="73"/>
  <c r="BK109" i="73"/>
  <c r="BJ109" i="73"/>
  <c r="BI109" i="73"/>
  <c r="BG109" i="73"/>
  <c r="BF109" i="73"/>
  <c r="BE109" i="73"/>
  <c r="BD109" i="73"/>
  <c r="BC109" i="73"/>
  <c r="BB109" i="73"/>
  <c r="BA109" i="73"/>
  <c r="AZ109" i="73"/>
  <c r="AY109" i="73"/>
  <c r="AX109" i="73"/>
  <c r="AW109" i="73"/>
  <c r="BG108" i="73"/>
  <c r="BC108" i="73"/>
  <c r="AX108" i="73"/>
  <c r="AL106" i="73"/>
  <c r="BO103" i="73"/>
  <c r="BN103" i="73"/>
  <c r="BM103" i="73"/>
  <c r="BK103" i="73"/>
  <c r="BJ103" i="73"/>
  <c r="BI103" i="73"/>
  <c r="BE103" i="73"/>
  <c r="BD103" i="73"/>
  <c r="BC103" i="73"/>
  <c r="BA103" i="73"/>
  <c r="AZ103" i="73"/>
  <c r="AX103" i="73"/>
  <c r="AW103" i="73"/>
  <c r="AO103" i="73"/>
  <c r="AL103" i="73"/>
  <c r="T103" i="73" s="1"/>
  <c r="AQ103" i="73"/>
  <c r="M103" i="73"/>
  <c r="J103" i="73"/>
  <c r="H103" i="73"/>
  <c r="E103" i="73"/>
  <c r="BO102" i="73"/>
  <c r="BN102" i="73"/>
  <c r="BM102" i="73"/>
  <c r="BK102" i="73"/>
  <c r="BJ102" i="73"/>
  <c r="BI102" i="73"/>
  <c r="BE102" i="73"/>
  <c r="BD102" i="73"/>
  <c r="BC102" i="73"/>
  <c r="BA102" i="73"/>
  <c r="AZ102" i="73"/>
  <c r="AX102" i="73"/>
  <c r="AW102" i="73"/>
  <c r="AN102" i="73"/>
  <c r="AL102" i="73"/>
  <c r="T102" i="73" s="1"/>
  <c r="AR102" i="73"/>
  <c r="M102" i="73"/>
  <c r="J102" i="73"/>
  <c r="H102" i="73"/>
  <c r="E102" i="73"/>
  <c r="BO101" i="73"/>
  <c r="BN101" i="73"/>
  <c r="BM101" i="73"/>
  <c r="BK101" i="73"/>
  <c r="BJ101" i="73"/>
  <c r="BI101" i="73"/>
  <c r="BE101" i="73"/>
  <c r="BD101" i="73"/>
  <c r="BC101" i="73"/>
  <c r="BA101" i="73"/>
  <c r="AZ101" i="73"/>
  <c r="AX101" i="73"/>
  <c r="AW101" i="73"/>
  <c r="AL101" i="73"/>
  <c r="T101" i="73" s="1"/>
  <c r="AN101" i="73"/>
  <c r="M101" i="73"/>
  <c r="J101" i="73"/>
  <c r="H101" i="73"/>
  <c r="E101" i="73"/>
  <c r="BO100" i="73"/>
  <c r="BN100" i="73"/>
  <c r="BM100" i="73"/>
  <c r="BK100" i="73"/>
  <c r="BJ100" i="73"/>
  <c r="BI100" i="73"/>
  <c r="BE100" i="73"/>
  <c r="BD100" i="73"/>
  <c r="BC100" i="73"/>
  <c r="BA100" i="73"/>
  <c r="AZ100" i="73"/>
  <c r="AX100" i="73"/>
  <c r="AW100" i="73"/>
  <c r="AL100" i="73"/>
  <c r="T100" i="73" s="1"/>
  <c r="AS100" i="73"/>
  <c r="M100" i="73"/>
  <c r="J100" i="73"/>
  <c r="H100" i="73"/>
  <c r="E100" i="73"/>
  <c r="BO99" i="73"/>
  <c r="BN99" i="73"/>
  <c r="BM99" i="73"/>
  <c r="BK99" i="73"/>
  <c r="BJ99" i="73"/>
  <c r="BI99" i="73"/>
  <c r="BE99" i="73"/>
  <c r="BD99" i="73"/>
  <c r="BC99" i="73"/>
  <c r="BA99" i="73"/>
  <c r="AZ99" i="73"/>
  <c r="AX99" i="73"/>
  <c r="AW99" i="73"/>
  <c r="AL99" i="73"/>
  <c r="T99" i="73" s="1"/>
  <c r="AQ99" i="73"/>
  <c r="M99" i="73"/>
  <c r="J99" i="73"/>
  <c r="H99" i="73"/>
  <c r="E99" i="73"/>
  <c r="BO98" i="73"/>
  <c r="BN98" i="73"/>
  <c r="BM98" i="73"/>
  <c r="BK98" i="73"/>
  <c r="BJ98" i="73"/>
  <c r="BI98" i="73"/>
  <c r="BE98" i="73"/>
  <c r="BD98" i="73"/>
  <c r="BC98" i="73"/>
  <c r="BA98" i="73"/>
  <c r="AZ98" i="73"/>
  <c r="AX98" i="73"/>
  <c r="AW98" i="73"/>
  <c r="AO98" i="73"/>
  <c r="AL98" i="73"/>
  <c r="T98" i="73" s="1"/>
  <c r="AR98" i="73"/>
  <c r="M98" i="73"/>
  <c r="J98" i="73"/>
  <c r="H98" i="73"/>
  <c r="E98" i="73"/>
  <c r="BO97" i="73"/>
  <c r="BN97" i="73"/>
  <c r="BM97" i="73"/>
  <c r="BK97" i="73"/>
  <c r="BJ97" i="73"/>
  <c r="BI97" i="73"/>
  <c r="M97" i="73"/>
  <c r="J97" i="73"/>
  <c r="BO96" i="73"/>
  <c r="BN96" i="73"/>
  <c r="BM96" i="73"/>
  <c r="BK96" i="73"/>
  <c r="BJ96" i="73"/>
  <c r="BI96" i="73"/>
  <c r="M96" i="73"/>
  <c r="J96" i="73"/>
  <c r="M95" i="73"/>
  <c r="BO94" i="73"/>
  <c r="BN94" i="73"/>
  <c r="BM94" i="73"/>
  <c r="BK94" i="73"/>
  <c r="BJ94" i="73"/>
  <c r="BI94" i="73"/>
  <c r="M94" i="73"/>
  <c r="J94" i="73"/>
  <c r="BQ93" i="73"/>
  <c r="BP93" i="73"/>
  <c r="BO93" i="73"/>
  <c r="BN93" i="73"/>
  <c r="BM93" i="73"/>
  <c r="BL93" i="73"/>
  <c r="BK93" i="73"/>
  <c r="BJ93" i="73"/>
  <c r="BI93" i="73"/>
  <c r="AW93" i="73"/>
  <c r="BG92" i="73"/>
  <c r="BC92" i="73"/>
  <c r="AX92" i="73"/>
  <c r="AL90" i="73"/>
  <c r="BO87" i="73"/>
  <c r="BN87" i="73"/>
  <c r="BM87" i="73"/>
  <c r="BK87" i="73"/>
  <c r="BJ87" i="73"/>
  <c r="BI87" i="73"/>
  <c r="BE87" i="73"/>
  <c r="BD87" i="73"/>
  <c r="BC87" i="73"/>
  <c r="BA87" i="73"/>
  <c r="AZ87" i="73"/>
  <c r="AX87" i="73"/>
  <c r="AW87" i="73"/>
  <c r="AS87" i="73"/>
  <c r="AR87" i="73"/>
  <c r="AQ87" i="73"/>
  <c r="AO87" i="73"/>
  <c r="AN87" i="73"/>
  <c r="AL87" i="73"/>
  <c r="T87" i="73" s="1"/>
  <c r="M87" i="73"/>
  <c r="J87" i="73"/>
  <c r="BO86" i="73"/>
  <c r="BN86" i="73"/>
  <c r="BM86" i="73"/>
  <c r="BK86" i="73"/>
  <c r="BJ86" i="73"/>
  <c r="BI86" i="73"/>
  <c r="BE86" i="73"/>
  <c r="BD86" i="73"/>
  <c r="BC86" i="73"/>
  <c r="BA86" i="73"/>
  <c r="AZ86" i="73"/>
  <c r="AX86" i="73"/>
  <c r="AW86" i="73"/>
  <c r="AS86" i="73"/>
  <c r="AR86" i="73"/>
  <c r="AQ86" i="73"/>
  <c r="AO86" i="73"/>
  <c r="AN86" i="73"/>
  <c r="AL86" i="73"/>
  <c r="T86" i="73" s="1"/>
  <c r="M86" i="73"/>
  <c r="J86" i="73"/>
  <c r="BO85" i="73"/>
  <c r="BN85" i="73"/>
  <c r="BM85" i="73"/>
  <c r="BK85" i="73"/>
  <c r="BJ85" i="73"/>
  <c r="BI85" i="73"/>
  <c r="BE85" i="73"/>
  <c r="BD85" i="73"/>
  <c r="BC85" i="73"/>
  <c r="BA85" i="73"/>
  <c r="AZ85" i="73"/>
  <c r="AX85" i="73"/>
  <c r="AW85" i="73"/>
  <c r="AS85" i="73"/>
  <c r="AR85" i="73"/>
  <c r="AQ85" i="73"/>
  <c r="AO85" i="73"/>
  <c r="AN85" i="73"/>
  <c r="AL85" i="73"/>
  <c r="T85" i="73" s="1"/>
  <c r="M85" i="73"/>
  <c r="J85" i="73"/>
  <c r="BO84" i="73"/>
  <c r="BN84" i="73"/>
  <c r="BM84" i="73"/>
  <c r="BK84" i="73"/>
  <c r="BJ84" i="73"/>
  <c r="BI84" i="73"/>
  <c r="BE84" i="73"/>
  <c r="BD84" i="73"/>
  <c r="BC84" i="73"/>
  <c r="BA84" i="73"/>
  <c r="AZ84" i="73"/>
  <c r="AX84" i="73"/>
  <c r="AW84" i="73"/>
  <c r="AS84" i="73"/>
  <c r="AR84" i="73"/>
  <c r="AQ84" i="73"/>
  <c r="AO84" i="73"/>
  <c r="AN84" i="73"/>
  <c r="AL84" i="73"/>
  <c r="T84" i="73" s="1"/>
  <c r="M84" i="73"/>
  <c r="J84" i="73"/>
  <c r="BO83" i="73"/>
  <c r="BN83" i="73"/>
  <c r="BM83" i="73"/>
  <c r="BK83" i="73"/>
  <c r="BJ83" i="73"/>
  <c r="BI83" i="73"/>
  <c r="BE83" i="73"/>
  <c r="BD83" i="73"/>
  <c r="BC83" i="73"/>
  <c r="BA83" i="73"/>
  <c r="AZ83" i="73"/>
  <c r="AX83" i="73"/>
  <c r="AW83" i="73"/>
  <c r="AS83" i="73"/>
  <c r="AR83" i="73"/>
  <c r="AQ83" i="73"/>
  <c r="AO83" i="73"/>
  <c r="AN83" i="73"/>
  <c r="AL83" i="73"/>
  <c r="T83" i="73" s="1"/>
  <c r="M83" i="73"/>
  <c r="J83" i="73"/>
  <c r="BO82" i="73"/>
  <c r="BN82" i="73"/>
  <c r="BM82" i="73"/>
  <c r="BK82" i="73"/>
  <c r="BJ82" i="73"/>
  <c r="BI82" i="73"/>
  <c r="BE82" i="73"/>
  <c r="BD82" i="73"/>
  <c r="BC82" i="73"/>
  <c r="BA82" i="73"/>
  <c r="AZ82" i="73"/>
  <c r="AX82" i="73"/>
  <c r="AW82" i="73"/>
  <c r="AS82" i="73"/>
  <c r="AR82" i="73"/>
  <c r="AQ82" i="73"/>
  <c r="AO82" i="73"/>
  <c r="AN82" i="73"/>
  <c r="AL82" i="73"/>
  <c r="T82" i="73" s="1"/>
  <c r="M82" i="73"/>
  <c r="J82" i="73"/>
  <c r="BO81" i="73"/>
  <c r="BN81" i="73"/>
  <c r="BM81" i="73"/>
  <c r="BK81" i="73"/>
  <c r="BJ81" i="73"/>
  <c r="BI81" i="73"/>
  <c r="BE81" i="73"/>
  <c r="BD81" i="73"/>
  <c r="BC81" i="73"/>
  <c r="BA81" i="73"/>
  <c r="AZ81" i="73"/>
  <c r="AX81" i="73"/>
  <c r="AW81" i="73"/>
  <c r="AS81" i="73"/>
  <c r="AR81" i="73"/>
  <c r="AQ81" i="73"/>
  <c r="AO81" i="73"/>
  <c r="AN81" i="73"/>
  <c r="AL81" i="73"/>
  <c r="T81" i="73" s="1"/>
  <c r="M81" i="73"/>
  <c r="J81" i="73"/>
  <c r="BE80" i="73"/>
  <c r="BD80" i="73"/>
  <c r="BC80" i="73"/>
  <c r="BA80" i="73"/>
  <c r="AZ80" i="73"/>
  <c r="AX80" i="73"/>
  <c r="AW80" i="73"/>
  <c r="M80" i="73"/>
  <c r="BA79" i="73"/>
  <c r="M79" i="73"/>
  <c r="BA78" i="73"/>
  <c r="M78" i="73"/>
  <c r="BQ77" i="73"/>
  <c r="BP77" i="73"/>
  <c r="BO77" i="73"/>
  <c r="BN77" i="73"/>
  <c r="BM77" i="73"/>
  <c r="BL77" i="73"/>
  <c r="BK77" i="73"/>
  <c r="BJ77" i="73"/>
  <c r="BI77" i="73"/>
  <c r="BG77" i="73"/>
  <c r="BF77" i="73"/>
  <c r="BE77" i="73"/>
  <c r="BD77" i="73"/>
  <c r="BC77" i="73"/>
  <c r="BB77" i="73"/>
  <c r="BA77" i="73"/>
  <c r="AZ77" i="73"/>
  <c r="AY77" i="73"/>
  <c r="AX77" i="73"/>
  <c r="AW77" i="73"/>
  <c r="BG76" i="73"/>
  <c r="BC76" i="73"/>
  <c r="AX76" i="73"/>
  <c r="AL74" i="73"/>
  <c r="BO71" i="73"/>
  <c r="BN71" i="73"/>
  <c r="BM71" i="73"/>
  <c r="BK71" i="73"/>
  <c r="BJ71" i="73"/>
  <c r="BI71" i="73"/>
  <c r="BE71" i="73"/>
  <c r="BD71" i="73"/>
  <c r="BC71" i="73"/>
  <c r="BA71" i="73"/>
  <c r="AZ71" i="73"/>
  <c r="AX71" i="73"/>
  <c r="AW71" i="73"/>
  <c r="O71" i="73"/>
  <c r="N71" i="73"/>
  <c r="AF71" i="73" s="1"/>
  <c r="H71" i="73"/>
  <c r="J71" i="73" s="1"/>
  <c r="G71" i="73"/>
  <c r="F71" i="73"/>
  <c r="E71" i="73"/>
  <c r="BO70" i="73"/>
  <c r="BN70" i="73"/>
  <c r="BM70" i="73"/>
  <c r="BK70" i="73"/>
  <c r="BJ70" i="73"/>
  <c r="BL70" i="73" s="1"/>
  <c r="AA70" i="73" s="1"/>
  <c r="BI70" i="73"/>
  <c r="BE70" i="73"/>
  <c r="BD70" i="73"/>
  <c r="BC70" i="73"/>
  <c r="BA70" i="73"/>
  <c r="AZ70" i="73"/>
  <c r="AX70" i="73"/>
  <c r="AW70" i="73"/>
  <c r="O70" i="73"/>
  <c r="N70" i="73"/>
  <c r="AF70" i="73" s="1"/>
  <c r="H70" i="73"/>
  <c r="J70" i="73" s="1"/>
  <c r="G70" i="73"/>
  <c r="F70" i="73"/>
  <c r="E70" i="73"/>
  <c r="BO69" i="73"/>
  <c r="BN69" i="73"/>
  <c r="BM69" i="73"/>
  <c r="BK69" i="73"/>
  <c r="BJ69" i="73"/>
  <c r="BI69" i="73"/>
  <c r="BA69" i="73"/>
  <c r="O69" i="73"/>
  <c r="N69" i="73"/>
  <c r="AF69" i="73" s="1"/>
  <c r="BO68" i="73"/>
  <c r="BN68" i="73"/>
  <c r="BM68" i="73"/>
  <c r="BK68" i="73"/>
  <c r="BJ68" i="73"/>
  <c r="BI68" i="73"/>
  <c r="BA68" i="73"/>
  <c r="O68" i="73"/>
  <c r="N68" i="73"/>
  <c r="AF68" i="73" s="1"/>
  <c r="BK67" i="73"/>
  <c r="BA67" i="73"/>
  <c r="O67" i="73"/>
  <c r="N67" i="73"/>
  <c r="AF67" i="73" s="1"/>
  <c r="BK66" i="73"/>
  <c r="BA66" i="73"/>
  <c r="O66" i="73"/>
  <c r="N66" i="73"/>
  <c r="AF66" i="73" s="1"/>
  <c r="BK65" i="73"/>
  <c r="BA65" i="73"/>
  <c r="O65" i="73"/>
  <c r="N65" i="73"/>
  <c r="AF65" i="73" s="1"/>
  <c r="BK64" i="73"/>
  <c r="BA64" i="73"/>
  <c r="O64" i="73"/>
  <c r="N64" i="73"/>
  <c r="AF64" i="73" s="1"/>
  <c r="BI63" i="73"/>
  <c r="BG63" i="73"/>
  <c r="BF63" i="73"/>
  <c r="BE63" i="73"/>
  <c r="BD63" i="73"/>
  <c r="BC63" i="73"/>
  <c r="BB63" i="73"/>
  <c r="BA63" i="73"/>
  <c r="AZ63" i="73"/>
  <c r="AY63" i="73"/>
  <c r="AX63" i="73"/>
  <c r="AW63" i="73"/>
  <c r="AU63" i="73"/>
  <c r="AT63" i="73"/>
  <c r="AS63" i="73"/>
  <c r="AR63" i="73"/>
  <c r="AQ63" i="73"/>
  <c r="AP63" i="73"/>
  <c r="AO63" i="73"/>
  <c r="AN63" i="73"/>
  <c r="AM63" i="73"/>
  <c r="AL63" i="73"/>
  <c r="BJ62" i="73"/>
  <c r="BG62" i="73"/>
  <c r="BQ62" i="73" s="1"/>
  <c r="BC62" i="73"/>
  <c r="BM62" i="73" s="1"/>
  <c r="AX62" i="73"/>
  <c r="AL60" i="73"/>
  <c r="BO57" i="73"/>
  <c r="BN57" i="73"/>
  <c r="BM57" i="73"/>
  <c r="BK57" i="73"/>
  <c r="BJ57" i="73"/>
  <c r="BI57" i="73"/>
  <c r="BE57" i="73"/>
  <c r="BD57" i="73"/>
  <c r="BC57" i="73"/>
  <c r="BA57" i="73"/>
  <c r="AZ57" i="73"/>
  <c r="AX57" i="73"/>
  <c r="AW57" i="73"/>
  <c r="O57" i="73"/>
  <c r="N57" i="73"/>
  <c r="AF57" i="73" s="1"/>
  <c r="J57" i="73"/>
  <c r="G57" i="73"/>
  <c r="F57" i="73"/>
  <c r="E57" i="73"/>
  <c r="BO56" i="73"/>
  <c r="BN56" i="73"/>
  <c r="BM56" i="73"/>
  <c r="BK56" i="73"/>
  <c r="BJ56" i="73"/>
  <c r="BI56" i="73"/>
  <c r="BE56" i="73"/>
  <c r="BD56" i="73"/>
  <c r="BC56" i="73"/>
  <c r="BA56" i="73"/>
  <c r="AZ56" i="73"/>
  <c r="AX56" i="73"/>
  <c r="AW56" i="73"/>
  <c r="O56" i="73"/>
  <c r="N56" i="73"/>
  <c r="AF56" i="73" s="1"/>
  <c r="J56" i="73"/>
  <c r="G56" i="73"/>
  <c r="F56" i="73"/>
  <c r="E56" i="73"/>
  <c r="BA41" i="73"/>
  <c r="O41" i="73"/>
  <c r="BA40" i="73"/>
  <c r="O40" i="73"/>
  <c r="BA39" i="73"/>
  <c r="O39" i="73"/>
  <c r="N39" i="73"/>
  <c r="AF39" i="73" s="1"/>
  <c r="BA38" i="73"/>
  <c r="O38" i="73"/>
  <c r="N38" i="73"/>
  <c r="AF38" i="73" s="1"/>
  <c r="BA37" i="73"/>
  <c r="O37" i="73"/>
  <c r="N37" i="73"/>
  <c r="AF37" i="73" s="1"/>
  <c r="BA36" i="73"/>
  <c r="O36" i="73"/>
  <c r="BA35" i="73"/>
  <c r="O35" i="73"/>
  <c r="BA34" i="73"/>
  <c r="O34" i="73"/>
  <c r="N34" i="73"/>
  <c r="AF34" i="73" s="1"/>
  <c r="BA33" i="73"/>
  <c r="O33" i="73"/>
  <c r="N33" i="73"/>
  <c r="AF33" i="73" s="1"/>
  <c r="BA32" i="73"/>
  <c r="O32" i="73"/>
  <c r="N32" i="73"/>
  <c r="AF32" i="73" s="1"/>
  <c r="BA31" i="73"/>
  <c r="O31" i="73"/>
  <c r="N31" i="73"/>
  <c r="AF31" i="73" s="1"/>
  <c r="BA30" i="73"/>
  <c r="O30" i="73"/>
  <c r="N30" i="73"/>
  <c r="AF30" i="73" s="1"/>
  <c r="BA29" i="73"/>
  <c r="O29" i="73"/>
  <c r="N29" i="73"/>
  <c r="AF29" i="73" s="1"/>
  <c r="BA28" i="73"/>
  <c r="O28" i="73"/>
  <c r="N28" i="73"/>
  <c r="AF28" i="73" s="1"/>
  <c r="BA27" i="73"/>
  <c r="O27" i="73"/>
  <c r="N27" i="73"/>
  <c r="AF27" i="73" s="1"/>
  <c r="BA26" i="73"/>
  <c r="O26" i="73"/>
  <c r="N26" i="73"/>
  <c r="AF26" i="73" s="1"/>
  <c r="BO25" i="73"/>
  <c r="BN25" i="73"/>
  <c r="BM25" i="73"/>
  <c r="BK25" i="73"/>
  <c r="BJ25" i="73"/>
  <c r="BI25" i="73"/>
  <c r="BA25" i="73"/>
  <c r="O25" i="73"/>
  <c r="N25" i="73"/>
  <c r="AF25" i="73" s="1"/>
  <c r="BA24" i="73"/>
  <c r="O24" i="73"/>
  <c r="N24" i="73"/>
  <c r="AF24" i="73" s="1"/>
  <c r="BA23" i="73"/>
  <c r="O23" i="73"/>
  <c r="N23" i="73"/>
  <c r="AF23" i="73" s="1"/>
  <c r="BA22" i="73"/>
  <c r="O22" i="73"/>
  <c r="N22" i="73"/>
  <c r="AF22" i="73" s="1"/>
  <c r="BA21" i="73"/>
  <c r="O21" i="73"/>
  <c r="N21" i="73"/>
  <c r="AF21" i="73" s="1"/>
  <c r="BA20" i="73"/>
  <c r="O20" i="73"/>
  <c r="N20" i="73"/>
  <c r="AF20" i="73" s="1"/>
  <c r="BA19" i="73"/>
  <c r="O19" i="73"/>
  <c r="N19" i="73"/>
  <c r="AF19" i="73" s="1"/>
  <c r="BA18" i="73"/>
  <c r="O18" i="73"/>
  <c r="N18" i="73"/>
  <c r="AF18" i="73" s="1"/>
  <c r="BA17" i="73"/>
  <c r="O17" i="73"/>
  <c r="N17" i="73"/>
  <c r="AF17" i="73" s="1"/>
  <c r="BA16" i="73"/>
  <c r="O16" i="73"/>
  <c r="N16" i="73"/>
  <c r="AF16" i="73" s="1"/>
  <c r="BO15" i="73"/>
  <c r="BN15" i="73"/>
  <c r="BM15" i="73"/>
  <c r="BK15" i="73"/>
  <c r="BJ15" i="73"/>
  <c r="BI15" i="73"/>
  <c r="BE15" i="73"/>
  <c r="BD15" i="73"/>
  <c r="BC15" i="73"/>
  <c r="BA15" i="73"/>
  <c r="AZ15" i="73"/>
  <c r="AX15" i="73"/>
  <c r="AW15" i="73"/>
  <c r="O15" i="73"/>
  <c r="N15" i="73"/>
  <c r="AF15" i="73" s="1"/>
  <c r="J15" i="73"/>
  <c r="G15" i="73"/>
  <c r="F15" i="73"/>
  <c r="E15" i="73"/>
  <c r="BI14" i="73"/>
  <c r="BQ13" i="73"/>
  <c r="BM13" i="73"/>
  <c r="BM108" i="73" s="1"/>
  <c r="BJ13" i="73"/>
  <c r="BJ108" i="73" s="1"/>
  <c r="AU13" i="73"/>
  <c r="AU62" i="73" s="1"/>
  <c r="AQ13" i="73"/>
  <c r="AQ108" i="73" s="1"/>
  <c r="AL13" i="73"/>
  <c r="AL11" i="73"/>
  <c r="M9" i="73"/>
  <c r="M8" i="73"/>
  <c r="M6" i="73"/>
  <c r="G6" i="73"/>
  <c r="M5" i="73"/>
  <c r="G5" i="73"/>
  <c r="E5" i="73" s="1"/>
  <c r="AO70" i="73" l="1"/>
  <c r="AO71" i="73"/>
  <c r="AN98" i="73"/>
  <c r="AO99" i="73"/>
  <c r="AQ101" i="73"/>
  <c r="AN120" i="73"/>
  <c r="AN121" i="73"/>
  <c r="AN122" i="73"/>
  <c r="AN123" i="73"/>
  <c r="AN124" i="73"/>
  <c r="AN125" i="73"/>
  <c r="AO55" i="73"/>
  <c r="AO65" i="73"/>
  <c r="AR99" i="73"/>
  <c r="AO102" i="73"/>
  <c r="AR103" i="73"/>
  <c r="AO120" i="73"/>
  <c r="AO121" i="73"/>
  <c r="AO122" i="73"/>
  <c r="AO123" i="73"/>
  <c r="AO124" i="73"/>
  <c r="AO125" i="73"/>
  <c r="AO49" i="73"/>
  <c r="AL71" i="73"/>
  <c r="T71" i="73" s="1"/>
  <c r="AQ98" i="73"/>
  <c r="AS99" i="73"/>
  <c r="AQ100" i="73"/>
  <c r="AQ102" i="73"/>
  <c r="AS103" i="73"/>
  <c r="AR120" i="73"/>
  <c r="AR121" i="73"/>
  <c r="AR122" i="73"/>
  <c r="AR123" i="73"/>
  <c r="AR124" i="73"/>
  <c r="AR125" i="73"/>
  <c r="AO51" i="73"/>
  <c r="AQ62" i="73"/>
  <c r="AS98" i="73"/>
  <c r="AN99" i="73"/>
  <c r="AS102" i="73"/>
  <c r="AN103" i="73"/>
  <c r="AL120" i="73"/>
  <c r="T120" i="73" s="1"/>
  <c r="AS120" i="73"/>
  <c r="AL121" i="73"/>
  <c r="AS121" i="73"/>
  <c r="AL122" i="73"/>
  <c r="T122" i="73" s="1"/>
  <c r="AS122" i="73"/>
  <c r="AL123" i="73"/>
  <c r="T123" i="73" s="1"/>
  <c r="AS123" i="73"/>
  <c r="AL124" i="73"/>
  <c r="T124" i="73" s="1"/>
  <c r="AS124" i="73"/>
  <c r="AL125" i="73"/>
  <c r="AS125" i="73"/>
  <c r="AS70" i="73"/>
  <c r="AS71" i="73"/>
  <c r="BF124" i="73"/>
  <c r="Y124" i="73" s="1"/>
  <c r="BF82" i="73"/>
  <c r="Y82" i="73" s="1"/>
  <c r="BF121" i="73"/>
  <c r="Y121" i="73" s="1"/>
  <c r="BF53" i="73"/>
  <c r="Y53" i="73" s="1"/>
  <c r="BF50" i="73"/>
  <c r="Y50" i="73" s="1"/>
  <c r="AQ54" i="73"/>
  <c r="AY49" i="73"/>
  <c r="BB49" i="73" s="1"/>
  <c r="X49" i="73" s="1"/>
  <c r="BF15" i="73"/>
  <c r="Y15" i="73" s="1"/>
  <c r="BF57" i="73"/>
  <c r="Y57" i="73" s="1"/>
  <c r="BF70" i="73"/>
  <c r="Y70" i="73" s="1"/>
  <c r="BF84" i="73"/>
  <c r="Y84" i="73" s="1"/>
  <c r="BF115" i="73"/>
  <c r="Y115" i="73" s="1"/>
  <c r="BF120" i="73"/>
  <c r="Y120" i="73" s="1"/>
  <c r="BF125" i="73"/>
  <c r="Y125" i="73" s="1"/>
  <c r="BF49" i="73"/>
  <c r="Y49" i="73" s="1"/>
  <c r="BF52" i="73"/>
  <c r="Y52" i="73" s="1"/>
  <c r="BF55" i="73"/>
  <c r="Y55" i="73" s="1"/>
  <c r="BP68" i="73"/>
  <c r="AB68" i="73" s="1"/>
  <c r="BP69" i="73"/>
  <c r="AB69" i="73" s="1"/>
  <c r="BF83" i="73"/>
  <c r="Y83" i="73" s="1"/>
  <c r="AQ50" i="73"/>
  <c r="BF51" i="73"/>
  <c r="Y51" i="73" s="1"/>
  <c r="BF54" i="73"/>
  <c r="Y54" i="73" s="1"/>
  <c r="BL102" i="73"/>
  <c r="AA102" i="73" s="1"/>
  <c r="BL50" i="73"/>
  <c r="AA50" i="73" s="1"/>
  <c r="BL85" i="73"/>
  <c r="AA85" i="73" s="1"/>
  <c r="BL54" i="73"/>
  <c r="AA54" i="73" s="1"/>
  <c r="BL82" i="73"/>
  <c r="AA82" i="73" s="1"/>
  <c r="BL86" i="73"/>
  <c r="AA86" i="73" s="1"/>
  <c r="AT87" i="73"/>
  <c r="BL94" i="73"/>
  <c r="AA94" i="73" s="1"/>
  <c r="BP96" i="73"/>
  <c r="AB96" i="73" s="1"/>
  <c r="BL97" i="73"/>
  <c r="AA97" i="73" s="1"/>
  <c r="BL101" i="73"/>
  <c r="AA101" i="73" s="1"/>
  <c r="BP122" i="73"/>
  <c r="AB122" i="73" s="1"/>
  <c r="BL52" i="73"/>
  <c r="AA52" i="73" s="1"/>
  <c r="BF102" i="73"/>
  <c r="Y102" i="73" s="1"/>
  <c r="BP81" i="73"/>
  <c r="AB81" i="73" s="1"/>
  <c r="AT82" i="73"/>
  <c r="BP83" i="73"/>
  <c r="AB83" i="73" s="1"/>
  <c r="AQ52" i="73"/>
  <c r="BL56" i="73"/>
  <c r="AA56" i="73" s="1"/>
  <c r="BL57" i="73"/>
  <c r="AA57" i="73" s="1"/>
  <c r="BL84" i="73"/>
  <c r="AA84" i="73" s="1"/>
  <c r="BL96" i="73"/>
  <c r="AA96" i="73" s="1"/>
  <c r="BL122" i="73"/>
  <c r="AA122" i="73" s="1"/>
  <c r="BP50" i="73"/>
  <c r="AB50" i="73" s="1"/>
  <c r="BP54" i="73"/>
  <c r="AB54" i="73" s="1"/>
  <c r="AS55" i="73"/>
  <c r="BL81" i="73"/>
  <c r="AA81" i="73" s="1"/>
  <c r="BP84" i="73"/>
  <c r="AB84" i="73" s="1"/>
  <c r="BL120" i="73"/>
  <c r="AA120" i="73" s="1"/>
  <c r="BP57" i="73"/>
  <c r="AB57" i="73" s="1"/>
  <c r="BP86" i="73"/>
  <c r="AB86" i="73" s="1"/>
  <c r="BP102" i="73"/>
  <c r="AB102" i="73" s="1"/>
  <c r="BP103" i="73"/>
  <c r="AB103" i="73" s="1"/>
  <c r="BP52" i="73"/>
  <c r="AB52" i="73" s="1"/>
  <c r="BP56" i="73"/>
  <c r="AB56" i="73" s="1"/>
  <c r="BL83" i="73"/>
  <c r="AA83" i="73" s="1"/>
  <c r="BL87" i="73"/>
  <c r="AA87" i="73" s="1"/>
  <c r="BP101" i="73"/>
  <c r="AB101" i="73" s="1"/>
  <c r="BL103" i="73"/>
  <c r="AA103" i="73" s="1"/>
  <c r="BL123" i="73"/>
  <c r="AA123" i="73" s="1"/>
  <c r="AO68" i="73"/>
  <c r="AO64" i="73"/>
  <c r="AY54" i="73"/>
  <c r="BB54" i="73" s="1"/>
  <c r="X54" i="73" s="1"/>
  <c r="AY52" i="73"/>
  <c r="BB52" i="73" s="1"/>
  <c r="X52" i="73" s="1"/>
  <c r="AL49" i="73"/>
  <c r="AQ53" i="73"/>
  <c r="AN53" i="73"/>
  <c r="AR53" i="73"/>
  <c r="BL25" i="73"/>
  <c r="AA25" i="73" s="1"/>
  <c r="BF71" i="73"/>
  <c r="Y71" i="73" s="1"/>
  <c r="AL80" i="73"/>
  <c r="T80" i="73" s="1"/>
  <c r="BF99" i="73"/>
  <c r="Y99" i="73" s="1"/>
  <c r="BF100" i="73"/>
  <c r="Y100" i="73" s="1"/>
  <c r="AS51" i="73"/>
  <c r="AL53" i="73"/>
  <c r="BP25" i="73"/>
  <c r="AB25" i="73" s="1"/>
  <c r="AN70" i="73"/>
  <c r="BP71" i="73"/>
  <c r="AB71" i="73" s="1"/>
  <c r="AT81" i="73"/>
  <c r="AT84" i="73"/>
  <c r="AT86" i="73"/>
  <c r="BF87" i="73"/>
  <c r="Y87" i="73" s="1"/>
  <c r="BP99" i="73"/>
  <c r="AB99" i="73" s="1"/>
  <c r="BF122" i="73"/>
  <c r="Y122" i="73" s="1"/>
  <c r="AS49" i="73"/>
  <c r="AS50" i="73"/>
  <c r="AO50" i="73"/>
  <c r="AR50" i="73"/>
  <c r="AN50" i="73"/>
  <c r="AL50" i="73"/>
  <c r="AQ51" i="73"/>
  <c r="AR51" i="73"/>
  <c r="AN51" i="73"/>
  <c r="AO53" i="73"/>
  <c r="AS52" i="73"/>
  <c r="AO52" i="73"/>
  <c r="AR52" i="73"/>
  <c r="AN52" i="73"/>
  <c r="AL52" i="73"/>
  <c r="AY55" i="73"/>
  <c r="BB55" i="73" s="1"/>
  <c r="X55" i="73" s="1"/>
  <c r="AL55" i="73"/>
  <c r="BL71" i="73"/>
  <c r="AA71" i="73" s="1"/>
  <c r="BL100" i="73"/>
  <c r="AA100" i="73" s="1"/>
  <c r="BL15" i="73"/>
  <c r="AA15" i="73" s="1"/>
  <c r="BL69" i="73"/>
  <c r="AA69" i="73" s="1"/>
  <c r="AR70" i="73"/>
  <c r="BP70" i="73"/>
  <c r="AB70" i="73" s="1"/>
  <c r="BF80" i="73"/>
  <c r="Y80" i="73" s="1"/>
  <c r="BF81" i="73"/>
  <c r="Y81" i="73" s="1"/>
  <c r="AT83" i="73"/>
  <c r="AT85" i="73"/>
  <c r="BF85" i="73"/>
  <c r="Y85" i="73" s="1"/>
  <c r="BP87" i="73"/>
  <c r="AB87" i="73" s="1"/>
  <c r="BP97" i="73"/>
  <c r="AB97" i="73" s="1"/>
  <c r="BL98" i="73"/>
  <c r="AA98" i="73" s="1"/>
  <c r="BL99" i="73"/>
  <c r="AA99" i="73" s="1"/>
  <c r="BF123" i="73"/>
  <c r="Y123" i="73" s="1"/>
  <c r="BP124" i="73"/>
  <c r="AB124" i="73" s="1"/>
  <c r="AQ49" i="73"/>
  <c r="AN49" i="73"/>
  <c r="AR49" i="73"/>
  <c r="AL51" i="73"/>
  <c r="AS53" i="73"/>
  <c r="AS54" i="73"/>
  <c r="AO54" i="73"/>
  <c r="AR54" i="73"/>
  <c r="AN54" i="73"/>
  <c r="AL54" i="73"/>
  <c r="AQ55" i="73"/>
  <c r="AR55" i="73"/>
  <c r="AN55" i="73"/>
  <c r="BP125" i="73"/>
  <c r="AB125" i="73" s="1"/>
  <c r="BL49" i="73"/>
  <c r="AA49" i="73" s="1"/>
  <c r="BP51" i="73"/>
  <c r="AB51" i="73" s="1"/>
  <c r="BL53" i="73"/>
  <c r="AA53" i="73" s="1"/>
  <c r="BP55" i="73"/>
  <c r="AB55" i="73" s="1"/>
  <c r="BP120" i="73"/>
  <c r="AB120" i="73" s="1"/>
  <c r="BP121" i="73"/>
  <c r="AB121" i="73" s="1"/>
  <c r="BP123" i="73"/>
  <c r="AB123" i="73" s="1"/>
  <c r="BL124" i="73"/>
  <c r="AA124" i="73" s="1"/>
  <c r="BP49" i="73"/>
  <c r="AB49" i="73" s="1"/>
  <c r="BL51" i="73"/>
  <c r="AA51" i="73" s="1"/>
  <c r="BP53" i="73"/>
  <c r="AB53" i="73" s="1"/>
  <c r="BL55" i="73"/>
  <c r="AA55" i="73" s="1"/>
  <c r="AS56" i="73"/>
  <c r="AO56" i="73"/>
  <c r="AR56" i="73"/>
  <c r="AQ56" i="73"/>
  <c r="AN56" i="73"/>
  <c r="AL56" i="73"/>
  <c r="AM102" i="73"/>
  <c r="AY86" i="73"/>
  <c r="BB86" i="73" s="1"/>
  <c r="X86" i="73" s="1"/>
  <c r="AY80" i="73"/>
  <c r="BB80" i="73" s="1"/>
  <c r="X80" i="73" s="1"/>
  <c r="AY82" i="73"/>
  <c r="BB82" i="73" s="1"/>
  <c r="X82" i="73" s="1"/>
  <c r="AM86" i="73"/>
  <c r="AM100" i="73"/>
  <c r="U100" i="73" s="1"/>
  <c r="AY81" i="73"/>
  <c r="BB81" i="73" s="1"/>
  <c r="X81" i="73" s="1"/>
  <c r="AY56" i="73"/>
  <c r="BB56" i="73" s="1"/>
  <c r="X56" i="73" s="1"/>
  <c r="AQ15" i="73"/>
  <c r="AO15" i="73"/>
  <c r="AS15" i="73"/>
  <c r="AN15" i="73"/>
  <c r="AR15" i="73"/>
  <c r="AO25" i="73"/>
  <c r="AY15" i="73"/>
  <c r="BB15" i="73" s="1"/>
  <c r="X15" i="73" s="1"/>
  <c r="AL15" i="73"/>
  <c r="AQ57" i="73"/>
  <c r="AO57" i="73"/>
  <c r="AR57" i="73"/>
  <c r="BI65" i="73"/>
  <c r="AM82" i="73"/>
  <c r="AY121" i="73"/>
  <c r="BB121" i="73" s="1"/>
  <c r="X121" i="73" s="1"/>
  <c r="AY125" i="73"/>
  <c r="BB125" i="73" s="1"/>
  <c r="X125" i="73" s="1"/>
  <c r="N40" i="73"/>
  <c r="AF40" i="73" s="1"/>
  <c r="N41" i="73"/>
  <c r="AF41" i="73" s="1"/>
  <c r="AL57" i="73"/>
  <c r="AS57" i="73"/>
  <c r="BI64" i="73"/>
  <c r="BL68" i="73"/>
  <c r="AA68" i="73" s="1"/>
  <c r="AQ70" i="73"/>
  <c r="AU76" i="73"/>
  <c r="BJ76" i="73"/>
  <c r="AM84" i="73"/>
  <c r="AU92" i="73"/>
  <c r="BJ92" i="73"/>
  <c r="AL108" i="73"/>
  <c r="AL92" i="73"/>
  <c r="AL76" i="73"/>
  <c r="N35" i="73"/>
  <c r="AF35" i="73" s="1"/>
  <c r="N36" i="73"/>
  <c r="AF36" i="73" s="1"/>
  <c r="AN57" i="73"/>
  <c r="AL62" i="73"/>
  <c r="AO69" i="73"/>
  <c r="BM76" i="73"/>
  <c r="AY87" i="73"/>
  <c r="BB87" i="73" s="1"/>
  <c r="X87" i="73" s="1"/>
  <c r="BM92" i="73"/>
  <c r="AM101" i="73"/>
  <c r="U101" i="73" s="1"/>
  <c r="AU108" i="73"/>
  <c r="BP15" i="73"/>
  <c r="AB15" i="73" s="1"/>
  <c r="AO66" i="73"/>
  <c r="AO67" i="73"/>
  <c r="AY71" i="73"/>
  <c r="BB71" i="73" s="1"/>
  <c r="X71" i="73" s="1"/>
  <c r="BP82" i="73"/>
  <c r="AB82" i="73" s="1"/>
  <c r="AY85" i="73"/>
  <c r="BB85" i="73" s="1"/>
  <c r="X85" i="73" s="1"/>
  <c r="BP85" i="73"/>
  <c r="AB85" i="73" s="1"/>
  <c r="BF98" i="73"/>
  <c r="Y98" i="73" s="1"/>
  <c r="AM81" i="73"/>
  <c r="BF86" i="73"/>
  <c r="Y86" i="73" s="1"/>
  <c r="BP98" i="73"/>
  <c r="AB98" i="73" s="1"/>
  <c r="BP100" i="73"/>
  <c r="AB100" i="73" s="1"/>
  <c r="BQ92" i="73"/>
  <c r="BQ76" i="73"/>
  <c r="BQ108" i="73"/>
  <c r="BF56" i="73"/>
  <c r="Y56" i="73" s="1"/>
  <c r="AY70" i="73"/>
  <c r="BB70" i="73" s="1"/>
  <c r="X70" i="73" s="1"/>
  <c r="AL70" i="73"/>
  <c r="AR71" i="73"/>
  <c r="AN71" i="73"/>
  <c r="AQ71" i="73"/>
  <c r="AQ76" i="73"/>
  <c r="AM83" i="73"/>
  <c r="AQ92" i="73"/>
  <c r="BP94" i="73"/>
  <c r="AB94" i="73" s="1"/>
  <c r="AM99" i="73"/>
  <c r="U99" i="73" s="1"/>
  <c r="AS101" i="73"/>
  <c r="AO101" i="73"/>
  <c r="AR101" i="73"/>
  <c r="BF103" i="73"/>
  <c r="Y103" i="73" s="1"/>
  <c r="AY115" i="73"/>
  <c r="BB115" i="73" s="1"/>
  <c r="X115" i="73" s="1"/>
  <c r="AY123" i="73"/>
  <c r="BB123" i="73" s="1"/>
  <c r="X123" i="73" s="1"/>
  <c r="AR100" i="73"/>
  <c r="AN100" i="73"/>
  <c r="AO100" i="73"/>
  <c r="BF101" i="73"/>
  <c r="Y101" i="73" s="1"/>
  <c r="AY102" i="73"/>
  <c r="BB102" i="73" s="1"/>
  <c r="X102" i="73" s="1"/>
  <c r="AL115" i="73"/>
  <c r="BL121" i="73"/>
  <c r="AA121" i="73" s="1"/>
  <c r="BL125" i="73"/>
  <c r="AA125" i="73" s="1"/>
  <c r="AM124" i="73" l="1"/>
  <c r="U124" i="73" s="1"/>
  <c r="AM122" i="73"/>
  <c r="U122" i="73" s="1"/>
  <c r="AT122" i="73"/>
  <c r="AT125" i="73"/>
  <c r="AT98" i="73"/>
  <c r="AT99" i="73"/>
  <c r="AT124" i="73"/>
  <c r="AT120" i="73"/>
  <c r="AT100" i="73"/>
  <c r="AT121" i="73"/>
  <c r="AM115" i="73"/>
  <c r="U115" i="73" s="1"/>
  <c r="T115" i="73"/>
  <c r="AP84" i="73"/>
  <c r="AU84" i="73" s="1"/>
  <c r="U84" i="73"/>
  <c r="AM125" i="73"/>
  <c r="T125" i="73"/>
  <c r="AM121" i="73"/>
  <c r="T121" i="73"/>
  <c r="AY100" i="73"/>
  <c r="BB100" i="73" s="1"/>
  <c r="X100" i="73" s="1"/>
  <c r="AM85" i="73"/>
  <c r="AY57" i="73"/>
  <c r="BB57" i="73" s="1"/>
  <c r="X57" i="73" s="1"/>
  <c r="AY101" i="73"/>
  <c r="BB101" i="73" s="1"/>
  <c r="X101" i="73" s="1"/>
  <c r="AY103" i="73"/>
  <c r="BB103" i="73" s="1"/>
  <c r="X103" i="73" s="1"/>
  <c r="AM98" i="73"/>
  <c r="AY53" i="73"/>
  <c r="BB53" i="73" s="1"/>
  <c r="X53" i="73" s="1"/>
  <c r="AY50" i="73"/>
  <c r="BB50" i="73" s="1"/>
  <c r="X50" i="73" s="1"/>
  <c r="AP83" i="73"/>
  <c r="AU83" i="73" s="1"/>
  <c r="U83" i="73"/>
  <c r="AP81" i="73"/>
  <c r="AU81" i="73" s="1"/>
  <c r="U81" i="73"/>
  <c r="AP82" i="73"/>
  <c r="AU82" i="73" s="1"/>
  <c r="U82" i="73"/>
  <c r="AM80" i="73"/>
  <c r="U80" i="73" s="1"/>
  <c r="AP86" i="73"/>
  <c r="AU86" i="73" s="1"/>
  <c r="U86" i="73"/>
  <c r="AP102" i="73"/>
  <c r="U102" i="73"/>
  <c r="AM120" i="73"/>
  <c r="U120" i="73" s="1"/>
  <c r="AY120" i="73"/>
  <c r="BB120" i="73" s="1"/>
  <c r="X120" i="73" s="1"/>
  <c r="AY98" i="73"/>
  <c r="BB98" i="73" s="1"/>
  <c r="X98" i="73" s="1"/>
  <c r="AM103" i="73"/>
  <c r="U103" i="73" s="1"/>
  <c r="AM123" i="73"/>
  <c r="U123" i="73" s="1"/>
  <c r="AY99" i="73"/>
  <c r="BB99" i="73" s="1"/>
  <c r="X99" i="73" s="1"/>
  <c r="AM87" i="73"/>
  <c r="AT70" i="73"/>
  <c r="AY124" i="73"/>
  <c r="BB124" i="73" s="1"/>
  <c r="X124" i="73" s="1"/>
  <c r="AY83" i="73"/>
  <c r="BB83" i="73" s="1"/>
  <c r="X83" i="73" s="1"/>
  <c r="AY122" i="73"/>
  <c r="BB122" i="73" s="1"/>
  <c r="X122" i="73" s="1"/>
  <c r="AY84" i="73"/>
  <c r="BB84" i="73" s="1"/>
  <c r="X84" i="73" s="1"/>
  <c r="BQ69" i="73"/>
  <c r="AC69" i="73" s="1"/>
  <c r="AY51" i="73"/>
  <c r="BB51" i="73" s="1"/>
  <c r="X51" i="73" s="1"/>
  <c r="AM70" i="73"/>
  <c r="U70" i="73" s="1"/>
  <c r="T70" i="73"/>
  <c r="AT102" i="73"/>
  <c r="AM71" i="73"/>
  <c r="U71" i="73" s="1"/>
  <c r="AP99" i="73"/>
  <c r="AT123" i="73"/>
  <c r="AT103" i="73"/>
  <c r="AM51" i="73"/>
  <c r="U51" i="73" s="1"/>
  <c r="T51" i="73"/>
  <c r="AM55" i="73"/>
  <c r="U55" i="73" s="1"/>
  <c r="T55" i="73"/>
  <c r="AM57" i="73"/>
  <c r="U57" i="73" s="1"/>
  <c r="T57" i="73"/>
  <c r="AM56" i="73"/>
  <c r="U56" i="73" s="1"/>
  <c r="T56" i="73"/>
  <c r="AM53" i="73"/>
  <c r="U53" i="73" s="1"/>
  <c r="T53" i="73"/>
  <c r="AM15" i="73"/>
  <c r="U15" i="73" s="1"/>
  <c r="T15" i="73"/>
  <c r="AM54" i="73"/>
  <c r="U54" i="73" s="1"/>
  <c r="T54" i="73"/>
  <c r="AM52" i="73"/>
  <c r="U52" i="73" s="1"/>
  <c r="T52" i="73"/>
  <c r="AM50" i="73"/>
  <c r="U50" i="73" s="1"/>
  <c r="T50" i="73"/>
  <c r="AM49" i="73"/>
  <c r="U49" i="73" s="1"/>
  <c r="T49" i="73"/>
  <c r="AT71" i="73"/>
  <c r="BQ70" i="73"/>
  <c r="AC70" i="73" s="1"/>
  <c r="BQ97" i="73"/>
  <c r="AC97" i="73" s="1"/>
  <c r="BQ103" i="73"/>
  <c r="AC103" i="73" s="1"/>
  <c r="AT50" i="73"/>
  <c r="BQ56" i="73"/>
  <c r="AC56" i="73" s="1"/>
  <c r="BQ83" i="73"/>
  <c r="AC83" i="73" s="1"/>
  <c r="BQ122" i="73"/>
  <c r="AC122" i="73" s="1"/>
  <c r="BQ87" i="73"/>
  <c r="AC87" i="73" s="1"/>
  <c r="BQ81" i="73"/>
  <c r="AC81" i="73" s="1"/>
  <c r="BQ50" i="73"/>
  <c r="AC50" i="73" s="1"/>
  <c r="BQ86" i="73"/>
  <c r="AC86" i="73" s="1"/>
  <c r="BQ96" i="73"/>
  <c r="AC96" i="73" s="1"/>
  <c r="AT54" i="73"/>
  <c r="AT51" i="73"/>
  <c r="BQ54" i="73"/>
  <c r="AC54" i="73" s="1"/>
  <c r="BQ94" i="73"/>
  <c r="AC94" i="73" s="1"/>
  <c r="BQ84" i="73"/>
  <c r="AC84" i="73" s="1"/>
  <c r="BQ52" i="73"/>
  <c r="AC52" i="73" s="1"/>
  <c r="AT101" i="73"/>
  <c r="BQ102" i="73"/>
  <c r="AC102" i="73" s="1"/>
  <c r="BQ101" i="73"/>
  <c r="AC101" i="73" s="1"/>
  <c r="BQ57" i="73"/>
  <c r="AC57" i="73" s="1"/>
  <c r="AT55" i="73"/>
  <c r="AT52" i="73"/>
  <c r="BQ51" i="73"/>
  <c r="AC51" i="73" s="1"/>
  <c r="BG55" i="73"/>
  <c r="Z55" i="73" s="1"/>
  <c r="BG54" i="73"/>
  <c r="Z54" i="73" s="1"/>
  <c r="BQ124" i="73"/>
  <c r="AC124" i="73" s="1"/>
  <c r="BQ123" i="73"/>
  <c r="AC123" i="73" s="1"/>
  <c r="BQ49" i="73"/>
  <c r="AC49" i="73" s="1"/>
  <c r="BQ120" i="73"/>
  <c r="AC120" i="73" s="1"/>
  <c r="AT53" i="73"/>
  <c r="BG52" i="73"/>
  <c r="Z52" i="73" s="1"/>
  <c r="BQ71" i="73"/>
  <c r="AC71" i="73" s="1"/>
  <c r="BQ55" i="73"/>
  <c r="AC55" i="73" s="1"/>
  <c r="BQ15" i="73"/>
  <c r="AC15" i="73" s="1"/>
  <c r="BQ99" i="73"/>
  <c r="AC99" i="73" s="1"/>
  <c r="BQ25" i="73"/>
  <c r="AC25" i="73" s="1"/>
  <c r="BQ53" i="73"/>
  <c r="AC53" i="73" s="1"/>
  <c r="AT49" i="73"/>
  <c r="BG49" i="73"/>
  <c r="Z49" i="73" s="1"/>
  <c r="BG70" i="73"/>
  <c r="Z70" i="73" s="1"/>
  <c r="BG71" i="73"/>
  <c r="Z71" i="73" s="1"/>
  <c r="BG87" i="73"/>
  <c r="Z87" i="73" s="1"/>
  <c r="BQ100" i="73"/>
  <c r="AC100" i="73" s="1"/>
  <c r="AT15" i="73"/>
  <c r="BQ125" i="73"/>
  <c r="AC125" i="73" s="1"/>
  <c r="BQ82" i="73"/>
  <c r="AC82" i="73" s="1"/>
  <c r="BG121" i="73"/>
  <c r="Z121" i="73" s="1"/>
  <c r="BG15" i="73"/>
  <c r="Z15" i="73" s="1"/>
  <c r="BG56" i="73"/>
  <c r="Z56" i="73" s="1"/>
  <c r="AP100" i="73"/>
  <c r="BG82" i="73"/>
  <c r="Z82" i="73" s="1"/>
  <c r="BG86" i="73"/>
  <c r="Z86" i="73" s="1"/>
  <c r="BG123" i="73"/>
  <c r="Z123" i="73" s="1"/>
  <c r="BG115" i="73"/>
  <c r="Z115" i="73" s="1"/>
  <c r="BQ98" i="73"/>
  <c r="AC98" i="73" s="1"/>
  <c r="AP101" i="73"/>
  <c r="BQ68" i="73"/>
  <c r="AC68" i="73" s="1"/>
  <c r="BQ85" i="73"/>
  <c r="AC85" i="73" s="1"/>
  <c r="AT57" i="73"/>
  <c r="BQ121" i="73"/>
  <c r="AC121" i="73" s="1"/>
  <c r="BG102" i="73"/>
  <c r="Z102" i="73" s="1"/>
  <c r="BG85" i="73"/>
  <c r="Z85" i="73" s="1"/>
  <c r="BG125" i="73"/>
  <c r="Z125" i="73" s="1"/>
  <c r="BG81" i="73"/>
  <c r="Z81" i="73" s="1"/>
  <c r="BG80" i="73"/>
  <c r="Z80" i="73" s="1"/>
  <c r="AT56" i="73"/>
  <c r="AP70" i="73" l="1"/>
  <c r="AU70" i="73" s="1"/>
  <c r="Q70" i="73" s="1"/>
  <c r="BG103" i="73"/>
  <c r="Z103" i="73" s="1"/>
  <c r="AE103" i="73" s="1"/>
  <c r="AD103" i="73" s="1"/>
  <c r="BG100" i="73"/>
  <c r="Z100" i="73" s="1"/>
  <c r="AE100" i="73" s="1"/>
  <c r="AD100" i="73" s="1"/>
  <c r="AP124" i="73"/>
  <c r="AU124" i="73" s="1"/>
  <c r="AH124" i="73" s="1"/>
  <c r="AG124" i="73" s="1"/>
  <c r="AP122" i="73"/>
  <c r="AU122" i="73" s="1"/>
  <c r="S122" i="73" s="1"/>
  <c r="V122" i="73" s="1"/>
  <c r="AP71" i="73"/>
  <c r="AU71" i="73" s="1"/>
  <c r="BG120" i="73"/>
  <c r="Z120" i="73" s="1"/>
  <c r="AE120" i="73" s="1"/>
  <c r="AD120" i="73" s="1"/>
  <c r="BG57" i="73"/>
  <c r="Z57" i="73" s="1"/>
  <c r="AE57" i="73" s="1"/>
  <c r="AD57" i="73" s="1"/>
  <c r="BG51" i="73"/>
  <c r="Z51" i="73" s="1"/>
  <c r="AE51" i="73" s="1"/>
  <c r="AD51" i="73" s="1"/>
  <c r="AE49" i="73"/>
  <c r="AD49" i="73" s="1"/>
  <c r="AU99" i="73"/>
  <c r="Q99" i="73" s="1"/>
  <c r="BG53" i="73"/>
  <c r="Z53" i="73" s="1"/>
  <c r="AE53" i="73" s="1"/>
  <c r="AD53" i="73" s="1"/>
  <c r="AE70" i="73"/>
  <c r="AD70" i="73" s="1"/>
  <c r="AE87" i="73"/>
  <c r="AD87" i="73" s="1"/>
  <c r="AE15" i="73"/>
  <c r="AD15" i="73" s="1"/>
  <c r="AE123" i="73"/>
  <c r="AD123" i="73" s="1"/>
  <c r="AE125" i="73"/>
  <c r="AD125" i="73" s="1"/>
  <c r="AU100" i="73"/>
  <c r="Q100" i="73" s="1"/>
  <c r="AU102" i="73"/>
  <c r="S102" i="73" s="1"/>
  <c r="V102" i="73" s="1"/>
  <c r="BG99" i="73"/>
  <c r="Z99" i="73" s="1"/>
  <c r="AE56" i="73"/>
  <c r="AD56" i="73" s="1"/>
  <c r="BG83" i="73"/>
  <c r="Z83" i="73" s="1"/>
  <c r="AE83" i="73" s="1"/>
  <c r="AD83" i="73" s="1"/>
  <c r="AP54" i="73"/>
  <c r="AU54" i="73" s="1"/>
  <c r="AP103" i="73"/>
  <c r="AU103" i="73" s="1"/>
  <c r="S103" i="73" s="1"/>
  <c r="V103" i="73" s="1"/>
  <c r="BG124" i="73"/>
  <c r="Z124" i="73" s="1"/>
  <c r="AE124" i="73" s="1"/>
  <c r="AD124" i="73" s="1"/>
  <c r="BG84" i="73"/>
  <c r="Z84" i="73" s="1"/>
  <c r="AE84" i="73" s="1"/>
  <c r="AD84" i="73" s="1"/>
  <c r="AP123" i="73"/>
  <c r="AU123" i="73" s="1"/>
  <c r="AP57" i="73"/>
  <c r="AU57" i="73" s="1"/>
  <c r="AP51" i="73"/>
  <c r="AU51" i="73" s="1"/>
  <c r="AP50" i="73"/>
  <c r="AU50" i="73" s="1"/>
  <c r="AP53" i="73"/>
  <c r="AU53" i="73" s="1"/>
  <c r="AP87" i="73"/>
  <c r="AU87" i="73" s="1"/>
  <c r="AH87" i="73" s="1"/>
  <c r="U87" i="73"/>
  <c r="BG101" i="73"/>
  <c r="Z101" i="73" s="1"/>
  <c r="AE101" i="73" s="1"/>
  <c r="AD101" i="73" s="1"/>
  <c r="BG122" i="73"/>
  <c r="Z122" i="73" s="1"/>
  <c r="AE122" i="73" s="1"/>
  <c r="AD122" i="73" s="1"/>
  <c r="AE71" i="73"/>
  <c r="AD71" i="73" s="1"/>
  <c r="AH81" i="73"/>
  <c r="AG81" i="73" s="1"/>
  <c r="Q81" i="73"/>
  <c r="P81" i="73"/>
  <c r="R81" i="73"/>
  <c r="S81" i="73"/>
  <c r="V81" i="73" s="1"/>
  <c r="AP120" i="73"/>
  <c r="AU120" i="73" s="1"/>
  <c r="AH120" i="73" s="1"/>
  <c r="AP121" i="73"/>
  <c r="AU121" i="73" s="1"/>
  <c r="U121" i="73"/>
  <c r="Q83" i="73"/>
  <c r="S83" i="73"/>
  <c r="V83" i="73"/>
  <c r="P83" i="73"/>
  <c r="R83" i="73"/>
  <c r="S82" i="73"/>
  <c r="P82" i="73"/>
  <c r="V82" i="73"/>
  <c r="Q82" i="73"/>
  <c r="R82" i="73"/>
  <c r="S86" i="73"/>
  <c r="Q86" i="73"/>
  <c r="R86" i="73"/>
  <c r="V86" i="73"/>
  <c r="P86" i="73"/>
  <c r="BG98" i="73"/>
  <c r="Z98" i="73" s="1"/>
  <c r="AE98" i="73" s="1"/>
  <c r="AD98" i="73" s="1"/>
  <c r="AP98" i="73"/>
  <c r="AU98" i="73" s="1"/>
  <c r="U98" i="73"/>
  <c r="AP85" i="73"/>
  <c r="AU85" i="73" s="1"/>
  <c r="U85" i="73"/>
  <c r="BG50" i="73"/>
  <c r="Z50" i="73" s="1"/>
  <c r="AE50" i="73" s="1"/>
  <c r="AD50" i="73" s="1"/>
  <c r="AE52" i="73"/>
  <c r="AD52" i="73" s="1"/>
  <c r="S84" i="73"/>
  <c r="V84" i="73"/>
  <c r="R84" i="73"/>
  <c r="P84" i="73"/>
  <c r="Q84" i="73"/>
  <c r="AP125" i="73"/>
  <c r="AU125" i="73" s="1"/>
  <c r="U125" i="73"/>
  <c r="AE82" i="73"/>
  <c r="AD82" i="73" s="1"/>
  <c r="AE81" i="73"/>
  <c r="AD81" i="73" s="1"/>
  <c r="AE99" i="73"/>
  <c r="AD99" i="73" s="1"/>
  <c r="AE102" i="73"/>
  <c r="AD102" i="73" s="1"/>
  <c r="AE86" i="73"/>
  <c r="AD86" i="73" s="1"/>
  <c r="AP55" i="73"/>
  <c r="AU55" i="73" s="1"/>
  <c r="AP56" i="73"/>
  <c r="AU56" i="73" s="1"/>
  <c r="AH83" i="73"/>
  <c r="AE121" i="73"/>
  <c r="AD121" i="73" s="1"/>
  <c r="AP49" i="73"/>
  <c r="AU49" i="73" s="1"/>
  <c r="AE54" i="73"/>
  <c r="AD54" i="73" s="1"/>
  <c r="AP15" i="73"/>
  <c r="AU15" i="73" s="1"/>
  <c r="AH82" i="73"/>
  <c r="AH86" i="73"/>
  <c r="AE85" i="73"/>
  <c r="AD85" i="73" s="1"/>
  <c r="AP52" i="73"/>
  <c r="AU52" i="73" s="1"/>
  <c r="AH84" i="73"/>
  <c r="AE55" i="73"/>
  <c r="AD55" i="73" s="1"/>
  <c r="AU101" i="73"/>
  <c r="Q122" i="73" l="1"/>
  <c r="R122" i="73"/>
  <c r="R124" i="73"/>
  <c r="P122" i="73"/>
  <c r="AH122" i="73"/>
  <c r="AG122" i="73" s="1"/>
  <c r="P124" i="73"/>
  <c r="Q124" i="73"/>
  <c r="S124" i="73"/>
  <c r="V124" i="73" s="1"/>
  <c r="AH99" i="73"/>
  <c r="AG99" i="73" s="1"/>
  <c r="S70" i="73"/>
  <c r="V70" i="73" s="1"/>
  <c r="AH70" i="73"/>
  <c r="AG70" i="73" s="1"/>
  <c r="P70" i="73"/>
  <c r="R70" i="73"/>
  <c r="P99" i="73"/>
  <c r="S99" i="73"/>
  <c r="V99" i="73" s="1"/>
  <c r="R99" i="73"/>
  <c r="P103" i="73"/>
  <c r="R103" i="73"/>
  <c r="AH100" i="73"/>
  <c r="AG100" i="73" s="1"/>
  <c r="R100" i="73"/>
  <c r="R102" i="73"/>
  <c r="AH103" i="73"/>
  <c r="AG103" i="73" s="1"/>
  <c r="P100" i="73"/>
  <c r="Q102" i="73"/>
  <c r="S100" i="73"/>
  <c r="V100" i="73" s="1"/>
  <c r="P102" i="73"/>
  <c r="AH102" i="73"/>
  <c r="AG102" i="73" s="1"/>
  <c r="Q103" i="73"/>
  <c r="AH121" i="73"/>
  <c r="AG121" i="73" s="1"/>
  <c r="S121" i="73"/>
  <c r="V121" i="73" s="1"/>
  <c r="R121" i="73"/>
  <c r="P121" i="73"/>
  <c r="Q121" i="73"/>
  <c r="Q71" i="73"/>
  <c r="R71" i="73"/>
  <c r="S71" i="73"/>
  <c r="V71" i="73" s="1"/>
  <c r="P71" i="73"/>
  <c r="S123" i="73"/>
  <c r="V123" i="73" s="1"/>
  <c r="Q123" i="73"/>
  <c r="R123" i="73"/>
  <c r="P123" i="73"/>
  <c r="AH98" i="73"/>
  <c r="AG98" i="73" s="1"/>
  <c r="Q98" i="73"/>
  <c r="P98" i="73"/>
  <c r="R98" i="73"/>
  <c r="S98" i="73"/>
  <c r="V98" i="73" s="1"/>
  <c r="AH101" i="73"/>
  <c r="AG101" i="73" s="1"/>
  <c r="S101" i="73"/>
  <c r="V101" i="73" s="1"/>
  <c r="R101" i="73"/>
  <c r="P101" i="73"/>
  <c r="Q101" i="73"/>
  <c r="AH123" i="73"/>
  <c r="AG123" i="73" s="1"/>
  <c r="AH85" i="73"/>
  <c r="AG85" i="73" s="1"/>
  <c r="V85" i="73"/>
  <c r="Q85" i="73"/>
  <c r="R85" i="73"/>
  <c r="S85" i="73"/>
  <c r="P85" i="73"/>
  <c r="Q87" i="73"/>
  <c r="P87" i="73"/>
  <c r="R87" i="73"/>
  <c r="V87" i="73"/>
  <c r="S87" i="73"/>
  <c r="AH125" i="73"/>
  <c r="AG125" i="73" s="1"/>
  <c r="S125" i="73"/>
  <c r="V125" i="73" s="1"/>
  <c r="P125" i="73"/>
  <c r="Q125" i="73"/>
  <c r="R125" i="73"/>
  <c r="Q120" i="73"/>
  <c r="S120" i="73"/>
  <c r="V120" i="73" s="1"/>
  <c r="P120" i="73"/>
  <c r="R120" i="73"/>
  <c r="AH15" i="73"/>
  <c r="AG15" i="73" s="1"/>
  <c r="Q15" i="73"/>
  <c r="AH57" i="73"/>
  <c r="AG57" i="73" s="1"/>
  <c r="Q57" i="73"/>
  <c r="AH55" i="73"/>
  <c r="AG55" i="73" s="1"/>
  <c r="Q55" i="73"/>
  <c r="AH52" i="73"/>
  <c r="AG52" i="73" s="1"/>
  <c r="Q52" i="73"/>
  <c r="AH56" i="73"/>
  <c r="AG56" i="73" s="1"/>
  <c r="Q56" i="73"/>
  <c r="AH54" i="73"/>
  <c r="AG54" i="73" s="1"/>
  <c r="Q54" i="73"/>
  <c r="AH51" i="73"/>
  <c r="AG51" i="73" s="1"/>
  <c r="Q51" i="73"/>
  <c r="AH53" i="73"/>
  <c r="AG53" i="73" s="1"/>
  <c r="Q53" i="73"/>
  <c r="AH50" i="73"/>
  <c r="AG50" i="73" s="1"/>
  <c r="Q50" i="73"/>
  <c r="AH49" i="73"/>
  <c r="AG49" i="73" s="1"/>
  <c r="Q49" i="73"/>
  <c r="AG87" i="73"/>
  <c r="AG83" i="73"/>
  <c r="AG86" i="73"/>
  <c r="AG84" i="73"/>
  <c r="AG82" i="73"/>
  <c r="AG120" i="73"/>
  <c r="AH71" i="73"/>
  <c r="P55" i="73"/>
  <c r="S55" i="73"/>
  <c r="V55" i="73" s="1"/>
  <c r="R55" i="73"/>
  <c r="R50" i="73"/>
  <c r="P50" i="73"/>
  <c r="S50" i="73"/>
  <c r="V50" i="73" s="1"/>
  <c r="R15" i="73"/>
  <c r="P15" i="73"/>
  <c r="S15" i="73"/>
  <c r="V15" i="73" s="1"/>
  <c r="R54" i="73"/>
  <c r="S54" i="73"/>
  <c r="V54" i="73" s="1"/>
  <c r="P54" i="73"/>
  <c r="P56" i="73"/>
  <c r="S56" i="73"/>
  <c r="V56" i="73" s="1"/>
  <c r="R56" i="73"/>
  <c r="P52" i="73"/>
  <c r="S52" i="73"/>
  <c r="V52" i="73" s="1"/>
  <c r="R52" i="73"/>
  <c r="S57" i="73"/>
  <c r="V57" i="73" s="1"/>
  <c r="R57" i="73"/>
  <c r="P57" i="73"/>
  <c r="S49" i="73"/>
  <c r="V49" i="73" s="1"/>
  <c r="R49" i="73"/>
  <c r="P49" i="73"/>
  <c r="S53" i="73"/>
  <c r="V53" i="73" s="1"/>
  <c r="R53" i="73"/>
  <c r="P53" i="73"/>
  <c r="P51" i="73"/>
  <c r="S51" i="73"/>
  <c r="V51" i="73" s="1"/>
  <c r="R51" i="73"/>
  <c r="AG71" i="73" l="1"/>
  <c r="U616" i="30" l="1"/>
  <c r="U615" i="30"/>
  <c r="U614" i="30"/>
  <c r="U613" i="30"/>
  <c r="U623" i="30"/>
  <c r="U622" i="30"/>
  <c r="U621" i="30"/>
  <c r="U608" i="30"/>
  <c r="U607" i="30"/>
  <c r="U602" i="30"/>
  <c r="U601" i="30"/>
  <c r="U600" i="30"/>
  <c r="U599" i="30"/>
  <c r="U598" i="30"/>
  <c r="U588" i="30"/>
  <c r="U587" i="30"/>
  <c r="U586" i="30"/>
  <c r="U585" i="30"/>
  <c r="U584" i="30"/>
  <c r="U583" i="30"/>
  <c r="U582" i="30"/>
  <c r="U581" i="30"/>
  <c r="U578" i="30"/>
  <c r="U577" i="30"/>
  <c r="U576" i="30"/>
  <c r="U573" i="30"/>
  <c r="U572" i="30"/>
  <c r="U571" i="30"/>
  <c r="T593" i="30"/>
  <c r="U593" i="30" s="1"/>
  <c r="T592" i="30"/>
  <c r="U592" i="30" s="1"/>
  <c r="T591" i="30"/>
  <c r="U591" i="30" s="1"/>
  <c r="M325" i="30" l="1"/>
  <c r="A326" i="30"/>
  <c r="A327" i="30"/>
  <c r="M328" i="30"/>
  <c r="A329" i="30"/>
  <c r="M324" i="30"/>
  <c r="A322" i="30"/>
  <c r="A323" i="30"/>
  <c r="N324" i="30"/>
  <c r="N325" i="30"/>
  <c r="N326" i="30"/>
  <c r="N327" i="30"/>
  <c r="N328" i="30"/>
  <c r="N329" i="30"/>
  <c r="A330" i="30"/>
  <c r="A331" i="30"/>
  <c r="O328" i="30" l="1"/>
  <c r="M326" i="30"/>
  <c r="O326" i="30" s="1"/>
  <c r="A328" i="30"/>
  <c r="A325" i="30"/>
  <c r="M327" i="30"/>
  <c r="O327" i="30" s="1"/>
  <c r="O325" i="30"/>
  <c r="M329" i="30"/>
  <c r="O329" i="30" s="1"/>
  <c r="A324" i="30"/>
  <c r="O324" i="30"/>
  <c r="D273" i="36"/>
  <c r="D145" i="28" l="1"/>
  <c r="L147" i="28"/>
  <c r="J147" i="28"/>
  <c r="K130" i="41"/>
  <c r="K129" i="41"/>
  <c r="K128" i="41"/>
  <c r="K127" i="41"/>
  <c r="K126" i="41"/>
  <c r="L155" i="28"/>
  <c r="I151" i="28"/>
  <c r="H150" i="28"/>
  <c r="H151" i="28"/>
  <c r="N103" i="41"/>
  <c r="L154" i="28" s="1"/>
  <c r="N102" i="41"/>
  <c r="L153" i="28" s="1"/>
  <c r="N101" i="41"/>
  <c r="L152" i="28" s="1"/>
  <c r="N100" i="41"/>
  <c r="L151" i="28" s="1"/>
  <c r="N99" i="41"/>
  <c r="L150" i="28" s="1"/>
  <c r="K99" i="41"/>
  <c r="I150" i="28" s="1"/>
  <c r="G68" i="36" l="1"/>
  <c r="G113" i="36"/>
  <c r="G112" i="36"/>
  <c r="J101" i="41"/>
  <c r="J102" i="41" s="1"/>
  <c r="F151" i="28"/>
  <c r="G150" i="28" s="1"/>
  <c r="F152" i="28"/>
  <c r="G151" i="28" s="1"/>
  <c r="F153" i="28"/>
  <c r="G152" i="28" s="1"/>
  <c r="F154" i="28"/>
  <c r="G153" i="28" s="1"/>
  <c r="F155" i="28"/>
  <c r="G154" i="28" s="1"/>
  <c r="F150" i="28"/>
  <c r="K155" i="28"/>
  <c r="F103" i="41"/>
  <c r="M105" i="41"/>
  <c r="L283" i="36"/>
  <c r="K283" i="36"/>
  <c r="I283" i="36"/>
  <c r="G283" i="36"/>
  <c r="F283" i="36"/>
  <c r="E283" i="36"/>
  <c r="G28" i="36"/>
  <c r="F130" i="41"/>
  <c r="J132" i="41"/>
  <c r="L282" i="36"/>
  <c r="K282" i="36"/>
  <c r="F282" i="36"/>
  <c r="E282" i="36"/>
  <c r="G282" i="36" l="1"/>
  <c r="F129" i="41"/>
  <c r="G314" i="39" l="1"/>
  <c r="F308" i="39"/>
  <c r="D305" i="39"/>
  <c r="D306" i="39"/>
  <c r="D304" i="39"/>
  <c r="G305" i="39"/>
  <c r="G304" i="39"/>
  <c r="D310" i="39"/>
  <c r="F279" i="36"/>
  <c r="F280" i="36"/>
  <c r="F281" i="36"/>
  <c r="E281" i="36"/>
  <c r="E279" i="36"/>
  <c r="E280" i="36"/>
  <c r="E278" i="36"/>
  <c r="K279" i="36"/>
  <c r="L279" i="36"/>
  <c r="K280" i="36"/>
  <c r="L280" i="36"/>
  <c r="K281" i="36"/>
  <c r="L281" i="36"/>
  <c r="P259" i="36"/>
  <c r="P260" i="36"/>
  <c r="P258" i="36"/>
  <c r="P130" i="28"/>
  <c r="P129" i="28"/>
  <c r="P128" i="28"/>
  <c r="F56" i="41"/>
  <c r="G8" i="73" l="1"/>
  <c r="E8" i="73" s="1"/>
  <c r="G111" i="36" l="1"/>
  <c r="G110" i="36"/>
  <c r="G109" i="36"/>
  <c r="A199" i="39" l="1"/>
  <c r="A200" i="39"/>
  <c r="A201" i="39"/>
  <c r="A205" i="39"/>
  <c r="A226" i="39"/>
  <c r="A227" i="39"/>
  <c r="A228" i="39"/>
  <c r="A229" i="39"/>
  <c r="A230" i="39"/>
  <c r="A231" i="39"/>
  <c r="A232" i="39"/>
  <c r="A233" i="39"/>
  <c r="A237" i="39"/>
  <c r="A251" i="39"/>
  <c r="A252" i="39"/>
  <c r="A253" i="39"/>
  <c r="A254" i="39"/>
  <c r="D97" i="73" l="1"/>
  <c r="D96" i="73"/>
  <c r="AB254" i="39"/>
  <c r="AB253" i="39"/>
  <c r="AB252" i="39"/>
  <c r="AB251" i="39"/>
  <c r="AB233" i="39"/>
  <c r="AB232" i="39"/>
  <c r="AB231" i="39"/>
  <c r="AB230" i="39"/>
  <c r="AB229" i="39"/>
  <c r="AB228" i="39"/>
  <c r="AB227" i="39"/>
  <c r="AB226" i="39"/>
  <c r="AB201" i="39"/>
  <c r="AB200" i="39"/>
  <c r="AB199" i="39"/>
  <c r="AB198" i="39"/>
  <c r="AB197" i="39"/>
  <c r="AB196" i="39"/>
  <c r="AB195" i="39"/>
  <c r="AB194" i="39"/>
  <c r="AB193" i="39"/>
  <c r="AB179" i="39"/>
  <c r="AB176" i="39"/>
  <c r="AB175" i="39"/>
  <c r="AB174" i="39"/>
  <c r="AB173" i="39"/>
  <c r="AB112" i="39"/>
  <c r="AB111" i="39"/>
  <c r="AB110" i="39"/>
  <c r="AB109" i="39"/>
  <c r="AB102" i="39"/>
  <c r="AB101" i="39"/>
  <c r="AB100" i="39"/>
  <c r="AB99" i="39"/>
  <c r="AB98" i="39"/>
  <c r="AB97" i="39"/>
  <c r="AB96" i="39"/>
  <c r="AB95" i="39"/>
  <c r="AB94" i="39"/>
  <c r="AB93" i="39"/>
  <c r="AB92" i="39"/>
  <c r="AB91" i="39"/>
  <c r="AB90" i="39"/>
  <c r="AB89" i="39"/>
  <c r="AB48" i="39"/>
  <c r="AB49" i="39"/>
  <c r="AB50" i="39"/>
  <c r="AB51" i="39"/>
  <c r="AB52" i="39"/>
  <c r="AB53" i="39"/>
  <c r="AB54" i="39"/>
  <c r="AB55" i="39"/>
  <c r="AB56" i="39"/>
  <c r="AB57" i="39"/>
  <c r="AB58" i="39"/>
  <c r="AB59" i="39"/>
  <c r="AB60" i="39"/>
  <c r="AB61" i="39"/>
  <c r="AB62" i="39"/>
  <c r="AB63" i="39"/>
  <c r="AB64" i="39"/>
  <c r="AB65" i="39"/>
  <c r="AB66" i="39"/>
  <c r="AB67" i="39"/>
  <c r="AB68" i="39"/>
  <c r="AB69" i="39"/>
  <c r="AB70" i="39"/>
  <c r="AB71" i="39"/>
  <c r="AB72" i="39"/>
  <c r="AB73" i="39"/>
  <c r="AB74" i="39"/>
  <c r="AB75" i="39"/>
  <c r="AB47" i="39"/>
  <c r="AW96" i="73" l="1"/>
  <c r="AW97" i="73"/>
  <c r="Q254" i="39"/>
  <c r="J254" i="39"/>
  <c r="Q253" i="39"/>
  <c r="J253" i="39"/>
  <c r="Q252" i="39"/>
  <c r="J252" i="39"/>
  <c r="Q251" i="39"/>
  <c r="J251" i="39"/>
  <c r="Q233" i="39"/>
  <c r="J233" i="39"/>
  <c r="Q232" i="39"/>
  <c r="J232" i="39"/>
  <c r="Q231" i="39"/>
  <c r="J231" i="39"/>
  <c r="Q230" i="39"/>
  <c r="J230" i="39"/>
  <c r="Q229" i="39"/>
  <c r="J229" i="39"/>
  <c r="Q228" i="39"/>
  <c r="J228" i="39"/>
  <c r="Q227" i="39"/>
  <c r="J227" i="39"/>
  <c r="Q226" i="39"/>
  <c r="J226" i="39"/>
  <c r="P226" i="39" s="1"/>
  <c r="Q201" i="39"/>
  <c r="J201" i="39"/>
  <c r="Q200" i="39"/>
  <c r="J200" i="39"/>
  <c r="Q199" i="39"/>
  <c r="J199" i="39"/>
  <c r="Q198" i="39"/>
  <c r="J198" i="39"/>
  <c r="Q197" i="39"/>
  <c r="J197" i="39"/>
  <c r="Q196" i="39"/>
  <c r="J196" i="39"/>
  <c r="Q195" i="39"/>
  <c r="J195" i="39"/>
  <c r="Q194" i="39"/>
  <c r="J194" i="39"/>
  <c r="Q193" i="39"/>
  <c r="J193" i="39"/>
  <c r="Q179" i="39"/>
  <c r="J179" i="39"/>
  <c r="Q176" i="39"/>
  <c r="J176" i="39"/>
  <c r="Q175" i="39"/>
  <c r="J175" i="39"/>
  <c r="Q174" i="39"/>
  <c r="J174" i="39"/>
  <c r="Q173" i="39"/>
  <c r="J173" i="39"/>
  <c r="Q112" i="39"/>
  <c r="J112" i="39"/>
  <c r="Q111" i="39"/>
  <c r="J111" i="39"/>
  <c r="Q110" i="39"/>
  <c r="J110" i="39"/>
  <c r="Q109" i="39"/>
  <c r="J109" i="39"/>
  <c r="Q102" i="39"/>
  <c r="J102" i="39"/>
  <c r="Q101" i="39"/>
  <c r="J101" i="39"/>
  <c r="Q100" i="39"/>
  <c r="J100" i="39"/>
  <c r="Q99" i="39"/>
  <c r="J99" i="39"/>
  <c r="Q98" i="39"/>
  <c r="J98" i="39"/>
  <c r="Q97" i="39"/>
  <c r="J97" i="39"/>
  <c r="Q96" i="39"/>
  <c r="J96" i="39"/>
  <c r="Q95" i="39"/>
  <c r="J95" i="39"/>
  <c r="Q94" i="39"/>
  <c r="J94" i="39"/>
  <c r="Q93" i="39"/>
  <c r="J93" i="39"/>
  <c r="Q92" i="39"/>
  <c r="J92" i="39"/>
  <c r="Q91" i="39"/>
  <c r="J91" i="39"/>
  <c r="Q90" i="39"/>
  <c r="J90" i="39"/>
  <c r="Q89" i="39"/>
  <c r="J89" i="39"/>
  <c r="J64" i="39"/>
  <c r="J65" i="39"/>
  <c r="Q65" i="39"/>
  <c r="P201" i="39" l="1"/>
  <c r="Q64" i="39"/>
  <c r="I139" i="28" l="1"/>
  <c r="H139" i="28"/>
  <c r="F100" i="41"/>
  <c r="F101" i="41"/>
  <c r="F102" i="41"/>
  <c r="F99" i="41"/>
  <c r="F127" i="41"/>
  <c r="G279" i="36" s="1"/>
  <c r="F128" i="41"/>
  <c r="G280" i="36" s="1"/>
  <c r="G281" i="36"/>
  <c r="F126" i="41"/>
  <c r="L300" i="39" l="1"/>
  <c r="E300" i="39"/>
  <c r="K67" i="41"/>
  <c r="A175" i="39" l="1"/>
  <c r="A176" i="39"/>
  <c r="A178" i="39"/>
  <c r="A179" i="39"/>
  <c r="A193" i="39"/>
  <c r="A194" i="39"/>
  <c r="A195" i="39"/>
  <c r="A196" i="39"/>
  <c r="A197" i="39"/>
  <c r="A198" i="39"/>
  <c r="A102" i="39"/>
  <c r="A108" i="39"/>
  <c r="A109" i="39"/>
  <c r="A110" i="39"/>
  <c r="A111" i="39"/>
  <c r="A112" i="39"/>
  <c r="A172" i="39"/>
  <c r="A173" i="39"/>
  <c r="A174" i="39"/>
  <c r="A96" i="39"/>
  <c r="A97" i="39"/>
  <c r="A98" i="39"/>
  <c r="A99" i="39"/>
  <c r="A100" i="39"/>
  <c r="A101" i="39"/>
  <c r="A67" i="39"/>
  <c r="A68" i="39"/>
  <c r="A69" i="39"/>
  <c r="A70" i="39"/>
  <c r="A71" i="39"/>
  <c r="A72" i="39"/>
  <c r="A73" i="39"/>
  <c r="A74" i="39"/>
  <c r="A75" i="39"/>
  <c r="A88" i="39"/>
  <c r="A89" i="39"/>
  <c r="A90" i="39"/>
  <c r="A91" i="39"/>
  <c r="A92" i="39"/>
  <c r="A93" i="39"/>
  <c r="A94" i="39"/>
  <c r="A95" i="39"/>
  <c r="J75" i="39"/>
  <c r="Q75" i="39"/>
  <c r="J66" i="39"/>
  <c r="Q66" i="39"/>
  <c r="J67" i="39"/>
  <c r="Q67" i="39"/>
  <c r="J68" i="39"/>
  <c r="Q68" i="39"/>
  <c r="Q47" i="39"/>
  <c r="Q48" i="39"/>
  <c r="Q49" i="39"/>
  <c r="Q50" i="39"/>
  <c r="A51" i="39"/>
  <c r="A52" i="39"/>
  <c r="A53" i="39"/>
  <c r="A54" i="39"/>
  <c r="A55" i="39"/>
  <c r="A56" i="39"/>
  <c r="A57" i="39"/>
  <c r="A58" i="39"/>
  <c r="A59" i="39"/>
  <c r="A60" i="39"/>
  <c r="A61" i="39"/>
  <c r="A62" i="39"/>
  <c r="A63" i="39"/>
  <c r="J59" i="39" l="1"/>
  <c r="Q59" i="39"/>
  <c r="J60" i="39"/>
  <c r="Q60" i="39"/>
  <c r="Q51" i="39"/>
  <c r="Q52" i="39"/>
  <c r="J51" i="39"/>
  <c r="J52" i="39"/>
  <c r="W247" i="36" l="1"/>
  <c r="V247" i="36"/>
  <c r="O141" i="36" l="1"/>
  <c r="O136" i="36"/>
  <c r="O130" i="36"/>
  <c r="O124" i="36"/>
  <c r="O119" i="36"/>
  <c r="H135" i="36"/>
  <c r="O132" i="36" l="1"/>
  <c r="O133" i="36"/>
  <c r="O134" i="36"/>
  <c r="O135" i="36"/>
  <c r="O137" i="36"/>
  <c r="O138" i="36"/>
  <c r="O139" i="36"/>
  <c r="O140" i="36"/>
  <c r="O142" i="36"/>
  <c r="O143" i="36"/>
  <c r="Q283" i="39" l="1"/>
  <c r="Q280" i="39"/>
  <c r="Q279" i="39"/>
  <c r="Q278" i="39"/>
  <c r="Q275" i="39"/>
  <c r="Q270" i="39"/>
  <c r="Q269" i="39"/>
  <c r="Q268" i="39"/>
  <c r="Q267" i="39"/>
  <c r="Q266" i="39"/>
  <c r="Q265" i="39"/>
  <c r="Q264" i="39"/>
  <c r="Q74" i="39"/>
  <c r="Q73" i="39"/>
  <c r="Q72" i="39"/>
  <c r="Q71" i="39"/>
  <c r="Q70" i="39"/>
  <c r="Q69" i="39"/>
  <c r="Q63" i="39"/>
  <c r="Q62" i="39"/>
  <c r="Q61" i="39"/>
  <c r="Q58" i="39"/>
  <c r="Q57" i="39"/>
  <c r="Q56" i="39"/>
  <c r="Q55" i="39"/>
  <c r="Q54" i="39"/>
  <c r="Q53" i="39"/>
  <c r="N666" i="30"/>
  <c r="N665" i="30"/>
  <c r="M665" i="30"/>
  <c r="N664" i="30"/>
  <c r="M664" i="30"/>
  <c r="N663" i="30"/>
  <c r="N658" i="30"/>
  <c r="M658" i="30"/>
  <c r="N657" i="30"/>
  <c r="M657" i="30"/>
  <c r="N656" i="30"/>
  <c r="M656" i="30"/>
  <c r="N655" i="30"/>
  <c r="M655" i="30"/>
  <c r="N650" i="30"/>
  <c r="N649" i="30"/>
  <c r="N648" i="30"/>
  <c r="N647" i="30"/>
  <c r="N643" i="30"/>
  <c r="N642" i="30"/>
  <c r="N641" i="30"/>
  <c r="N640" i="30"/>
  <c r="N639" i="30"/>
  <c r="N638" i="30"/>
  <c r="N635" i="30"/>
  <c r="N634" i="30"/>
  <c r="N633" i="30"/>
  <c r="N632" i="30"/>
  <c r="N623" i="30"/>
  <c r="M623" i="30"/>
  <c r="N622" i="30"/>
  <c r="M622" i="30"/>
  <c r="N621" i="30"/>
  <c r="M621" i="30"/>
  <c r="N616" i="30"/>
  <c r="M616" i="30"/>
  <c r="N615" i="30"/>
  <c r="M615" i="30"/>
  <c r="N614" i="30"/>
  <c r="M614" i="30"/>
  <c r="N613" i="30"/>
  <c r="M613" i="30"/>
  <c r="N608" i="30"/>
  <c r="N607" i="30"/>
  <c r="N602" i="30"/>
  <c r="M602" i="30"/>
  <c r="N601" i="30"/>
  <c r="M601" i="30"/>
  <c r="N600" i="30"/>
  <c r="M600" i="30"/>
  <c r="N599" i="30"/>
  <c r="M599" i="30"/>
  <c r="N598" i="30"/>
  <c r="M598" i="30"/>
  <c r="N593" i="30"/>
  <c r="M593" i="30"/>
  <c r="N592" i="30"/>
  <c r="M592" i="30"/>
  <c r="N591" i="30"/>
  <c r="M591" i="30"/>
  <c r="N588" i="30"/>
  <c r="M588" i="30"/>
  <c r="N587" i="30"/>
  <c r="M587" i="30"/>
  <c r="N586" i="30"/>
  <c r="M586" i="30"/>
  <c r="N585" i="30"/>
  <c r="M585" i="30"/>
  <c r="N584" i="30"/>
  <c r="M584" i="30"/>
  <c r="N583" i="30"/>
  <c r="M583" i="30"/>
  <c r="N582" i="30"/>
  <c r="M582" i="30"/>
  <c r="N581" i="30"/>
  <c r="M581" i="30"/>
  <c r="N578" i="30"/>
  <c r="M578" i="30"/>
  <c r="N577" i="30"/>
  <c r="N576" i="30"/>
  <c r="N573" i="30"/>
  <c r="M573" i="30"/>
  <c r="N572" i="30"/>
  <c r="M572" i="30"/>
  <c r="N571" i="30"/>
  <c r="M571" i="30"/>
  <c r="N562" i="30"/>
  <c r="N561" i="30"/>
  <c r="N560" i="30"/>
  <c r="N559" i="30"/>
  <c r="N558" i="30"/>
  <c r="N553" i="30"/>
  <c r="M553" i="30"/>
  <c r="N552" i="30"/>
  <c r="M552" i="30"/>
  <c r="N551" i="30"/>
  <c r="M551" i="30"/>
  <c r="N547" i="30"/>
  <c r="M547" i="30"/>
  <c r="N546" i="30"/>
  <c r="M546" i="30"/>
  <c r="N537" i="30"/>
  <c r="N536" i="30"/>
  <c r="M536" i="30"/>
  <c r="N535" i="30"/>
  <c r="N528" i="30"/>
  <c r="M528" i="30"/>
  <c r="N527" i="30"/>
  <c r="M527" i="30"/>
  <c r="N526" i="30"/>
  <c r="M526" i="30"/>
  <c r="N523" i="30"/>
  <c r="M523" i="30"/>
  <c r="N522" i="30"/>
  <c r="M522" i="30"/>
  <c r="N521" i="30"/>
  <c r="M521" i="30"/>
  <c r="N520" i="30"/>
  <c r="M520" i="30"/>
  <c r="N519" i="30"/>
  <c r="M519" i="30"/>
  <c r="N513" i="30"/>
  <c r="M513" i="30"/>
  <c r="N512" i="30"/>
  <c r="M512" i="30"/>
  <c r="N511" i="30"/>
  <c r="M511" i="30"/>
  <c r="N505" i="30"/>
  <c r="M505" i="30"/>
  <c r="N497" i="30"/>
  <c r="M497" i="30"/>
  <c r="N494" i="30"/>
  <c r="M494" i="30"/>
  <c r="N493" i="30"/>
  <c r="M493" i="30"/>
  <c r="N492" i="30"/>
  <c r="M492" i="30"/>
  <c r="N491" i="30"/>
  <c r="M491" i="30"/>
  <c r="N490" i="30"/>
  <c r="M490" i="30"/>
  <c r="N482" i="30"/>
  <c r="M482" i="30"/>
  <c r="N481" i="30"/>
  <c r="M481" i="30"/>
  <c r="N480" i="30"/>
  <c r="M480" i="30"/>
  <c r="N479" i="30"/>
  <c r="M479" i="30"/>
  <c r="N476" i="30"/>
  <c r="M476" i="30"/>
  <c r="N475" i="30"/>
  <c r="M475" i="30"/>
  <c r="N474" i="30"/>
  <c r="M474" i="30"/>
  <c r="N473" i="30"/>
  <c r="M473" i="30"/>
  <c r="N472" i="30"/>
  <c r="M472" i="30"/>
  <c r="N471" i="30"/>
  <c r="M471" i="30"/>
  <c r="N462" i="30"/>
  <c r="M462" i="30"/>
  <c r="N461" i="30"/>
  <c r="M461" i="30"/>
  <c r="N460" i="30"/>
  <c r="M460" i="30"/>
  <c r="N459" i="30"/>
  <c r="M459" i="30"/>
  <c r="N453" i="30"/>
  <c r="N452" i="30"/>
  <c r="N451" i="30"/>
  <c r="N449" i="30"/>
  <c r="N448" i="30"/>
  <c r="N447" i="30"/>
  <c r="N446" i="30"/>
  <c r="N444" i="30"/>
  <c r="N443" i="30"/>
  <c r="N441" i="30"/>
  <c r="N440" i="30"/>
  <c r="N435" i="30"/>
  <c r="M435" i="30"/>
  <c r="N434" i="30"/>
  <c r="M434" i="30"/>
  <c r="N431" i="30"/>
  <c r="M431" i="30"/>
  <c r="N430" i="30"/>
  <c r="M430" i="30"/>
  <c r="N429" i="30"/>
  <c r="M429" i="30"/>
  <c r="N426" i="30"/>
  <c r="M426" i="30"/>
  <c r="N425" i="30"/>
  <c r="M425" i="30"/>
  <c r="N424" i="30"/>
  <c r="M424" i="30"/>
  <c r="N423" i="30"/>
  <c r="M423" i="30"/>
  <c r="N422" i="30"/>
  <c r="M422" i="30"/>
  <c r="N419" i="30"/>
  <c r="M419" i="30"/>
  <c r="N418" i="30"/>
  <c r="M418" i="30"/>
  <c r="N412" i="30"/>
  <c r="M412" i="30"/>
  <c r="N411" i="30"/>
  <c r="M411" i="30"/>
  <c r="N410" i="30"/>
  <c r="M410" i="30"/>
  <c r="N407" i="30"/>
  <c r="M407" i="30"/>
  <c r="N406" i="30"/>
  <c r="M406" i="30"/>
  <c r="N405" i="30"/>
  <c r="M405" i="30"/>
  <c r="N402" i="30"/>
  <c r="M402" i="30"/>
  <c r="N401" i="30"/>
  <c r="M401" i="30"/>
  <c r="N400" i="30"/>
  <c r="M400" i="30"/>
  <c r="N399" i="30"/>
  <c r="M399" i="30"/>
  <c r="N398" i="30"/>
  <c r="M398" i="30"/>
  <c r="N392" i="30"/>
  <c r="M392" i="30"/>
  <c r="N391" i="30"/>
  <c r="M391" i="30"/>
  <c r="N390" i="30"/>
  <c r="M390" i="30"/>
  <c r="N389" i="30"/>
  <c r="M389" i="30"/>
  <c r="N388" i="30"/>
  <c r="M388" i="30"/>
  <c r="N387" i="30"/>
  <c r="M387" i="30"/>
  <c r="N377" i="30"/>
  <c r="N376" i="30"/>
  <c r="N370" i="30"/>
  <c r="M370" i="30"/>
  <c r="N369" i="30"/>
  <c r="M369" i="30"/>
  <c r="N366" i="30"/>
  <c r="M366" i="30"/>
  <c r="N365" i="30"/>
  <c r="M365" i="30"/>
  <c r="N364" i="30"/>
  <c r="M364" i="30"/>
  <c r="N363" i="30"/>
  <c r="N362" i="30"/>
  <c r="M362" i="30"/>
  <c r="N352" i="30"/>
  <c r="M352" i="30"/>
  <c r="N351" i="30"/>
  <c r="M351" i="30"/>
  <c r="N350" i="30"/>
  <c r="M350" i="30"/>
  <c r="N349" i="30"/>
  <c r="M349" i="30"/>
  <c r="N348" i="30"/>
  <c r="M348" i="30"/>
  <c r="N347" i="30"/>
  <c r="M347" i="30"/>
  <c r="N346" i="30"/>
  <c r="M346" i="30"/>
  <c r="N319" i="30"/>
  <c r="N318" i="30"/>
  <c r="N317" i="30"/>
  <c r="N316" i="30"/>
  <c r="N315" i="30"/>
  <c r="N314" i="30"/>
  <c r="N313" i="30"/>
  <c r="N312" i="30"/>
  <c r="N311" i="30"/>
  <c r="N310" i="30"/>
  <c r="N309" i="30"/>
  <c r="N308" i="30"/>
  <c r="N302" i="30"/>
  <c r="N301" i="30"/>
  <c r="N300" i="30"/>
  <c r="N299" i="30"/>
  <c r="N298" i="30"/>
  <c r="N297" i="30"/>
  <c r="N296" i="30"/>
  <c r="N295" i="30"/>
  <c r="N294" i="30"/>
  <c r="N293" i="30"/>
  <c r="N292" i="30"/>
  <c r="N287" i="30"/>
  <c r="N286" i="30"/>
  <c r="N285" i="30"/>
  <c r="N284" i="30"/>
  <c r="N283" i="30"/>
  <c r="M283" i="30"/>
  <c r="N282" i="30"/>
  <c r="N274" i="30"/>
  <c r="M274" i="30"/>
  <c r="N273" i="30"/>
  <c r="M273" i="30"/>
  <c r="N272" i="30"/>
  <c r="M272" i="30"/>
  <c r="N271" i="30"/>
  <c r="M271" i="30"/>
  <c r="N268" i="30"/>
  <c r="N267" i="30"/>
  <c r="N261" i="30"/>
  <c r="M261" i="30"/>
  <c r="N260" i="30"/>
  <c r="M260" i="30"/>
  <c r="N255" i="30"/>
  <c r="M255" i="30"/>
  <c r="N254" i="30"/>
  <c r="M254" i="30"/>
  <c r="N253" i="30"/>
  <c r="M253" i="30"/>
  <c r="N250" i="30"/>
  <c r="N249" i="30"/>
  <c r="M249" i="30"/>
  <c r="N248" i="30"/>
  <c r="N247" i="30"/>
  <c r="N246" i="30"/>
  <c r="N245" i="30"/>
  <c r="N244" i="30"/>
  <c r="N243" i="30"/>
  <c r="N242" i="30"/>
  <c r="N241" i="30"/>
  <c r="N240" i="30"/>
  <c r="M240" i="30"/>
  <c r="N237" i="30"/>
  <c r="M237" i="30"/>
  <c r="N226" i="30"/>
  <c r="N225" i="30"/>
  <c r="N224" i="30"/>
  <c r="N223" i="30"/>
  <c r="N222" i="30"/>
  <c r="N221" i="30"/>
  <c r="N220" i="30"/>
  <c r="N219" i="30"/>
  <c r="N218" i="30"/>
  <c r="N212" i="30"/>
  <c r="N211" i="30"/>
  <c r="N210" i="30"/>
  <c r="N209" i="30"/>
  <c r="N208" i="30"/>
  <c r="N207" i="30"/>
  <c r="N205" i="30"/>
  <c r="N204" i="30"/>
  <c r="N198" i="30"/>
  <c r="N197" i="30"/>
  <c r="N187" i="30"/>
  <c r="M187" i="30"/>
  <c r="N186" i="30"/>
  <c r="M186" i="30"/>
  <c r="N185" i="30"/>
  <c r="M185" i="30"/>
  <c r="N184" i="30"/>
  <c r="M184" i="30"/>
  <c r="N183" i="30"/>
  <c r="M183" i="30"/>
  <c r="N182" i="30"/>
  <c r="M182" i="30"/>
  <c r="N181" i="30"/>
  <c r="M181" i="30"/>
  <c r="N180" i="30"/>
  <c r="M180" i="30"/>
  <c r="N174" i="30"/>
  <c r="M174" i="30"/>
  <c r="N173" i="30"/>
  <c r="M173" i="30"/>
  <c r="N172" i="30"/>
  <c r="M172" i="30"/>
  <c r="N171" i="30"/>
  <c r="M171" i="30"/>
  <c r="N170" i="30"/>
  <c r="M170" i="30"/>
  <c r="N169" i="30"/>
  <c r="M169" i="30"/>
  <c r="N168" i="30"/>
  <c r="M168" i="30"/>
  <c r="N167" i="30"/>
  <c r="M167" i="30"/>
  <c r="N166" i="30"/>
  <c r="M166" i="30"/>
  <c r="N165" i="30"/>
  <c r="M165" i="30"/>
  <c r="N159" i="30"/>
  <c r="N158" i="30"/>
  <c r="N157" i="30"/>
  <c r="N151" i="30"/>
  <c r="N150" i="30"/>
  <c r="N149" i="30"/>
  <c r="N144" i="30"/>
  <c r="N143" i="30"/>
  <c r="N142" i="30"/>
  <c r="N141" i="30"/>
  <c r="N140" i="30"/>
  <c r="N137" i="30"/>
  <c r="N136" i="30"/>
  <c r="N135" i="30"/>
  <c r="N134" i="30"/>
  <c r="N133" i="30"/>
  <c r="N124" i="30"/>
  <c r="N123" i="30"/>
  <c r="N122" i="30"/>
  <c r="N121" i="30"/>
  <c r="N120" i="30"/>
  <c r="N119" i="30"/>
  <c r="N118" i="30"/>
  <c r="N117" i="30"/>
  <c r="N116" i="30"/>
  <c r="N115" i="30"/>
  <c r="N112" i="30"/>
  <c r="N111" i="30"/>
  <c r="N110" i="30"/>
  <c r="N109" i="30"/>
  <c r="N108" i="30"/>
  <c r="N107" i="30"/>
  <c r="N106" i="30"/>
  <c r="N105" i="30"/>
  <c r="N104" i="30"/>
  <c r="N103" i="30"/>
  <c r="N102" i="30"/>
  <c r="N88" i="30"/>
  <c r="N87" i="30"/>
  <c r="N86" i="30"/>
  <c r="N85" i="30"/>
  <c r="M85" i="30"/>
  <c r="N80" i="30"/>
  <c r="N79" i="30"/>
  <c r="N78" i="30"/>
  <c r="N76" i="30"/>
  <c r="N75" i="30"/>
  <c r="N74" i="30"/>
  <c r="N73" i="30"/>
  <c r="N72" i="30"/>
  <c r="N71" i="30"/>
  <c r="N70" i="30"/>
  <c r="N61" i="30"/>
  <c r="M61" i="30"/>
  <c r="N60" i="30"/>
  <c r="M60" i="30"/>
  <c r="N59" i="30"/>
  <c r="N58" i="30"/>
  <c r="N55" i="30"/>
  <c r="M55" i="30"/>
  <c r="N54" i="30"/>
  <c r="M54" i="30"/>
  <c r="N53" i="30"/>
  <c r="N52" i="30"/>
  <c r="N46" i="30"/>
  <c r="N45" i="30"/>
  <c r="N44" i="30"/>
  <c r="N41" i="30"/>
  <c r="N40" i="30"/>
  <c r="N39" i="30"/>
  <c r="N27" i="30"/>
  <c r="N26" i="30"/>
  <c r="N25" i="30"/>
  <c r="N24" i="30"/>
  <c r="N23" i="30"/>
  <c r="N20" i="30"/>
  <c r="N19" i="30"/>
  <c r="N18" i="30"/>
  <c r="P245" i="36"/>
  <c r="P244" i="36"/>
  <c r="P243" i="36"/>
  <c r="P184" i="36"/>
  <c r="O184" i="36"/>
  <c r="P183" i="36"/>
  <c r="O183" i="36"/>
  <c r="P182" i="36"/>
  <c r="O182" i="36"/>
  <c r="P181" i="36"/>
  <c r="O181" i="36"/>
  <c r="P179" i="36"/>
  <c r="O179" i="36"/>
  <c r="P178" i="36"/>
  <c r="O178" i="36"/>
  <c r="P177" i="36"/>
  <c r="O177" i="36"/>
  <c r="P176" i="36"/>
  <c r="O176" i="36"/>
  <c r="P175" i="36"/>
  <c r="O175" i="36"/>
  <c r="P174" i="36"/>
  <c r="O174" i="36"/>
  <c r="P23" i="36"/>
  <c r="O23" i="36"/>
  <c r="P22" i="36"/>
  <c r="O22" i="36"/>
  <c r="P21" i="36"/>
  <c r="O21" i="36"/>
  <c r="P20" i="36"/>
  <c r="O20" i="36"/>
  <c r="P19" i="36"/>
  <c r="O19" i="36"/>
  <c r="P18" i="36"/>
  <c r="O18" i="36"/>
  <c r="O237" i="30" l="1"/>
  <c r="O283" i="30"/>
  <c r="O349" i="30"/>
  <c r="O362" i="30"/>
  <c r="O85" i="30"/>
  <c r="O166" i="30"/>
  <c r="O170" i="30"/>
  <c r="O174" i="30"/>
  <c r="O183" i="30"/>
  <c r="O187" i="30"/>
  <c r="O260" i="30"/>
  <c r="O272" i="30"/>
  <c r="O274" i="30"/>
  <c r="O365" i="30"/>
  <c r="O388" i="30"/>
  <c r="O392" i="30"/>
  <c r="O401" i="30"/>
  <c r="O407" i="30"/>
  <c r="O418" i="30"/>
  <c r="O424" i="30"/>
  <c r="O430" i="30"/>
  <c r="O459" i="30"/>
  <c r="O461" i="30"/>
  <c r="O475" i="30"/>
  <c r="O505" i="30"/>
  <c r="O546" i="30"/>
  <c r="O551" i="30"/>
  <c r="O581" i="30"/>
  <c r="O583" i="30"/>
  <c r="O585" i="30"/>
  <c r="O587" i="30"/>
  <c r="O599" i="30"/>
  <c r="O616" i="30"/>
  <c r="O656" i="30"/>
  <c r="O165" i="30"/>
  <c r="O167" i="30"/>
  <c r="O169" i="30"/>
  <c r="O173" i="30"/>
  <c r="O180" i="30"/>
  <c r="O182" i="30"/>
  <c r="O186" i="30"/>
  <c r="O255" i="30"/>
  <c r="O261" i="30"/>
  <c r="O271" i="30"/>
  <c r="O366" i="30"/>
  <c r="O389" i="30"/>
  <c r="O391" i="30"/>
  <c r="O398" i="30"/>
  <c r="O402" i="30"/>
  <c r="O423" i="30"/>
  <c r="O460" i="30"/>
  <c r="O476" i="30"/>
  <c r="O482" i="30"/>
  <c r="O547" i="30"/>
  <c r="O664" i="30"/>
  <c r="O490" i="30"/>
  <c r="O494" i="30"/>
  <c r="O578" i="30"/>
  <c r="O592" i="30"/>
  <c r="O600" i="30"/>
  <c r="O615" i="30"/>
  <c r="O655" i="30"/>
  <c r="O571" i="30"/>
  <c r="O582" i="30"/>
  <c r="O584" i="30"/>
  <c r="O586" i="30"/>
  <c r="O536" i="30"/>
  <c r="O523" i="30"/>
  <c r="O527" i="30"/>
  <c r="O522" i="30"/>
  <c r="O491" i="30"/>
  <c r="O497" i="30"/>
  <c r="O471" i="30"/>
  <c r="O473" i="30"/>
  <c r="O474" i="30"/>
  <c r="O54" i="30"/>
  <c r="O60" i="30"/>
  <c r="O171" i="30"/>
  <c r="O184" i="30"/>
  <c r="O352" i="30"/>
  <c r="O55" i="30"/>
  <c r="O61" i="30"/>
  <c r="O168" i="30"/>
  <c r="O172" i="30"/>
  <c r="O181" i="30"/>
  <c r="O185" i="30"/>
  <c r="O249" i="30"/>
  <c r="O406" i="30"/>
  <c r="O435" i="30"/>
  <c r="O253" i="30"/>
  <c r="O348" i="30"/>
  <c r="O387" i="30"/>
  <c r="O400" i="30"/>
  <c r="O412" i="30"/>
  <c r="O429" i="30"/>
  <c r="O492" i="30"/>
  <c r="O623" i="30"/>
  <c r="O240" i="30"/>
  <c r="O254" i="30"/>
  <c r="O273" i="30"/>
  <c r="O481" i="30"/>
  <c r="O513" i="30"/>
  <c r="O528" i="30"/>
  <c r="O591" i="30"/>
  <c r="O346" i="30"/>
  <c r="O350" i="30"/>
  <c r="O369" i="30"/>
  <c r="O410" i="30"/>
  <c r="O419" i="30"/>
  <c r="O425" i="30"/>
  <c r="O431" i="30"/>
  <c r="O472" i="30"/>
  <c r="O479" i="30"/>
  <c r="O493" i="30"/>
  <c r="O511" i="30"/>
  <c r="O519" i="30"/>
  <c r="O520" i="30"/>
  <c r="O526" i="30"/>
  <c r="O347" i="30"/>
  <c r="O351" i="30"/>
  <c r="O364" i="30"/>
  <c r="O370" i="30"/>
  <c r="O390" i="30"/>
  <c r="O399" i="30"/>
  <c r="O405" i="30"/>
  <c r="O411" i="30"/>
  <c r="O422" i="30"/>
  <c r="O426" i="30"/>
  <c r="O434" i="30"/>
  <c r="O462" i="30"/>
  <c r="O480" i="30"/>
  <c r="O512" i="30"/>
  <c r="O553" i="30"/>
  <c r="O572" i="30"/>
  <c r="O573" i="30"/>
  <c r="O593" i="30"/>
  <c r="O601" i="30"/>
  <c r="O613" i="30"/>
  <c r="O621" i="30"/>
  <c r="O521" i="30"/>
  <c r="O552" i="30"/>
  <c r="O588" i="30"/>
  <c r="O598" i="30"/>
  <c r="O602" i="30"/>
  <c r="O614" i="30"/>
  <c r="O622" i="30"/>
  <c r="O658" i="30"/>
  <c r="O657" i="30"/>
  <c r="O665" i="30"/>
  <c r="Q178" i="36"/>
  <c r="Q175" i="36"/>
  <c r="Q177" i="36"/>
  <c r="Q179" i="36"/>
  <c r="Q20" i="36"/>
  <c r="Q21" i="36"/>
  <c r="Q22" i="36"/>
  <c r="Q184" i="36"/>
  <c r="Q181" i="36"/>
  <c r="Q183" i="36"/>
  <c r="Q19" i="36"/>
  <c r="Q23" i="36"/>
  <c r="Q174" i="36"/>
  <c r="Q182" i="36"/>
  <c r="Q176" i="36"/>
  <c r="H122" i="36" l="1"/>
  <c r="O126" i="36" l="1"/>
  <c r="M647" i="30" l="1"/>
  <c r="O647" i="30" s="1"/>
  <c r="O205" i="36" l="1"/>
  <c r="O127" i="36" l="1"/>
  <c r="D206" i="36" l="1"/>
  <c r="D205" i="36"/>
  <c r="H204" i="36"/>
  <c r="D204" i="36"/>
  <c r="O203" i="36"/>
  <c r="H203" i="36"/>
  <c r="D203" i="36"/>
  <c r="O202" i="36"/>
  <c r="H202" i="36"/>
  <c r="D202" i="36"/>
  <c r="A212" i="36"/>
  <c r="A213" i="36"/>
  <c r="A197" i="36"/>
  <c r="A196" i="36"/>
  <c r="O120" i="36" l="1"/>
  <c r="O125" i="36" l="1"/>
  <c r="O131" i="36" l="1"/>
  <c r="G164" i="36" l="1"/>
  <c r="P164" i="36" l="1"/>
  <c r="A658" i="30" l="1"/>
  <c r="C39" i="28" l="1"/>
  <c r="F39" i="28" s="1"/>
  <c r="C40" i="28" l="1"/>
  <c r="F40" i="28" s="1"/>
  <c r="F316" i="39"/>
  <c r="D330" i="39"/>
  <c r="C41" i="28" l="1"/>
  <c r="F41" i="28" s="1"/>
  <c r="J320" i="39"/>
  <c r="J338" i="39"/>
  <c r="J339" i="39"/>
  <c r="J340" i="39"/>
  <c r="J341" i="39"/>
  <c r="J337" i="39"/>
  <c r="H286" i="36"/>
  <c r="F286" i="36"/>
  <c r="C42" i="28" l="1"/>
  <c r="F42" i="28" s="1"/>
  <c r="K290" i="36"/>
  <c r="D290" i="36"/>
  <c r="L288" i="36"/>
  <c r="K288" i="36"/>
  <c r="L287" i="36"/>
  <c r="K287" i="36"/>
  <c r="I288" i="36"/>
  <c r="G288" i="36"/>
  <c r="F288" i="36"/>
  <c r="F287" i="36"/>
  <c r="D285" i="36"/>
  <c r="L278" i="36"/>
  <c r="K278" i="36"/>
  <c r="H277" i="36"/>
  <c r="F278" i="36"/>
  <c r="F277" i="36"/>
  <c r="D275" i="36"/>
  <c r="C43" i="28" l="1"/>
  <c r="F43" i="28" s="1"/>
  <c r="A586" i="30"/>
  <c r="F136" i="41"/>
  <c r="G287" i="36" s="1"/>
  <c r="C44" i="28" l="1"/>
  <c r="F44" i="28" s="1"/>
  <c r="P28" i="36"/>
  <c r="P68" i="36"/>
  <c r="Q18" i="36"/>
  <c r="C45" i="28" l="1"/>
  <c r="F45" i="28" s="1"/>
  <c r="G78" i="41"/>
  <c r="C46" i="28" l="1"/>
  <c r="F46" i="28" s="1"/>
  <c r="B14" i="36"/>
  <c r="A15" i="36"/>
  <c r="B5" i="66"/>
  <c r="A620" i="30"/>
  <c r="A619" i="30"/>
  <c r="A618" i="30"/>
  <c r="A612" i="30"/>
  <c r="A611" i="30"/>
  <c r="A610" i="30"/>
  <c r="A606" i="30"/>
  <c r="A605" i="30"/>
  <c r="A604" i="30"/>
  <c r="A597" i="30"/>
  <c r="A596" i="30"/>
  <c r="A595" i="30"/>
  <c r="J50" i="39"/>
  <c r="J49" i="39"/>
  <c r="J48" i="39"/>
  <c r="J47" i="39"/>
  <c r="P47" i="39" s="1"/>
  <c r="J58" i="39"/>
  <c r="J57" i="39"/>
  <c r="J56" i="39"/>
  <c r="J55" i="39"/>
  <c r="J54" i="39"/>
  <c r="J53" i="39"/>
  <c r="J63" i="39"/>
  <c r="J62" i="39"/>
  <c r="J61" i="39"/>
  <c r="J74" i="39"/>
  <c r="J73" i="39"/>
  <c r="J72" i="39"/>
  <c r="J71" i="39"/>
  <c r="J70" i="39"/>
  <c r="J69" i="39"/>
  <c r="B26" i="36" l="1"/>
  <c r="C47" i="28"/>
  <c r="F47" i="28" s="1"/>
  <c r="M558" i="30"/>
  <c r="O558" i="30" s="1"/>
  <c r="M562" i="30"/>
  <c r="O562" i="30" s="1"/>
  <c r="M535" i="30"/>
  <c r="O535" i="30" s="1"/>
  <c r="M561" i="30"/>
  <c r="O561" i="30" s="1"/>
  <c r="M559" i="30"/>
  <c r="O559" i="30" s="1"/>
  <c r="M537" i="30"/>
  <c r="O537" i="30" s="1"/>
  <c r="M560" i="30"/>
  <c r="O560" i="30" s="1"/>
  <c r="A572" i="30"/>
  <c r="B20" i="62"/>
  <c r="C48" i="28" l="1"/>
  <c r="F48" i="28" s="1"/>
  <c r="B21" i="62"/>
  <c r="L314" i="36"/>
  <c r="K314" i="36"/>
  <c r="D314" i="36"/>
  <c r="C312" i="36"/>
  <c r="L309" i="36"/>
  <c r="K309" i="36"/>
  <c r="D309" i="36"/>
  <c r="L307" i="36"/>
  <c r="K307" i="36"/>
  <c r="L306" i="36"/>
  <c r="K306" i="36"/>
  <c r="L305" i="36"/>
  <c r="K305" i="36"/>
  <c r="I307" i="36"/>
  <c r="H304" i="36"/>
  <c r="G307" i="36"/>
  <c r="F307" i="36"/>
  <c r="F306" i="36"/>
  <c r="F305" i="36"/>
  <c r="F304" i="36"/>
  <c r="D303" i="36"/>
  <c r="C301" i="36"/>
  <c r="L298" i="36"/>
  <c r="K298" i="36"/>
  <c r="L297" i="36"/>
  <c r="K297" i="36"/>
  <c r="L296" i="36"/>
  <c r="K296" i="36"/>
  <c r="I298" i="36"/>
  <c r="G298" i="36"/>
  <c r="F298" i="36"/>
  <c r="F297" i="36"/>
  <c r="F296" i="36"/>
  <c r="H295" i="36"/>
  <c r="F295" i="36"/>
  <c r="D294" i="36"/>
  <c r="C292" i="36"/>
  <c r="C271" i="36"/>
  <c r="C49" i="28" l="1"/>
  <c r="F49" i="28" s="1"/>
  <c r="B22" i="62"/>
  <c r="B23" i="62" s="1"/>
  <c r="G222" i="36"/>
  <c r="G221" i="36"/>
  <c r="G220" i="36"/>
  <c r="G219" i="36"/>
  <c r="G218" i="36"/>
  <c r="G217" i="36"/>
  <c r="G216" i="36"/>
  <c r="F156" i="41"/>
  <c r="G306" i="36" s="1"/>
  <c r="F155" i="41"/>
  <c r="G305" i="36" s="1"/>
  <c r="G165" i="36"/>
  <c r="G166" i="36"/>
  <c r="G167" i="36"/>
  <c r="G168" i="36"/>
  <c r="G169" i="36"/>
  <c r="G170" i="36"/>
  <c r="F147" i="41"/>
  <c r="G297" i="36" s="1"/>
  <c r="F146" i="41"/>
  <c r="G296" i="36" s="1"/>
  <c r="G278" i="36"/>
  <c r="C50" i="28" l="1"/>
  <c r="F50" i="28" s="1"/>
  <c r="P169" i="36"/>
  <c r="P218" i="36"/>
  <c r="P168" i="36"/>
  <c r="P219" i="36"/>
  <c r="P221" i="36"/>
  <c r="P167" i="36"/>
  <c r="P216" i="36"/>
  <c r="P165" i="36"/>
  <c r="P170" i="36"/>
  <c r="P166" i="36"/>
  <c r="P217" i="36"/>
  <c r="P220" i="36"/>
  <c r="P222" i="36"/>
  <c r="A216" i="36"/>
  <c r="A217" i="36"/>
  <c r="A220" i="36"/>
  <c r="A222" i="36"/>
  <c r="A218" i="36"/>
  <c r="A221" i="36"/>
  <c r="A219" i="36"/>
  <c r="A170" i="36"/>
  <c r="F184" i="36"/>
  <c r="F183" i="36"/>
  <c r="F182" i="36"/>
  <c r="F181" i="36"/>
  <c r="A184" i="36"/>
  <c r="A181" i="36"/>
  <c r="F175" i="36"/>
  <c r="A175" i="36"/>
  <c r="A621" i="30"/>
  <c r="A665" i="30"/>
  <c r="A664" i="30"/>
  <c r="A573" i="30"/>
  <c r="D68" i="73" l="1"/>
  <c r="AW68" i="73" s="1"/>
  <c r="C51" i="28"/>
  <c r="F51" i="28" s="1"/>
  <c r="A578" i="30"/>
  <c r="AW69" i="73" l="1"/>
  <c r="C52" i="28"/>
  <c r="F52" i="28" s="1"/>
  <c r="C53" i="28" l="1"/>
  <c r="F53" i="28" s="1"/>
  <c r="C54" i="28" l="1"/>
  <c r="F54" i="28" s="1"/>
  <c r="C55" i="28" l="1"/>
  <c r="F55" i="28" s="1"/>
  <c r="A105" i="36"/>
  <c r="A104" i="36"/>
  <c r="C69" i="36"/>
  <c r="G69" i="36" s="1"/>
  <c r="A67" i="36"/>
  <c r="C56" i="28" l="1"/>
  <c r="F56" i="28" s="1"/>
  <c r="P69" i="36"/>
  <c r="C70" i="36"/>
  <c r="G70" i="36" s="1"/>
  <c r="C29" i="36"/>
  <c r="A27" i="36"/>
  <c r="A146" i="36"/>
  <c r="A145" i="36"/>
  <c r="O129" i="36"/>
  <c r="O128" i="36"/>
  <c r="O122" i="36"/>
  <c r="O123" i="36"/>
  <c r="O121" i="36"/>
  <c r="O118" i="36"/>
  <c r="H144" i="36"/>
  <c r="H143" i="36"/>
  <c r="H142" i="36"/>
  <c r="H141" i="36"/>
  <c r="H140" i="36"/>
  <c r="H139" i="36"/>
  <c r="H138" i="36"/>
  <c r="H137" i="36"/>
  <c r="H136" i="36"/>
  <c r="H134" i="36"/>
  <c r="H133" i="36"/>
  <c r="H132" i="36"/>
  <c r="H131" i="36"/>
  <c r="H130" i="36"/>
  <c r="H129" i="36"/>
  <c r="H128" i="36"/>
  <c r="H127" i="36"/>
  <c r="H126" i="36"/>
  <c r="H125" i="36"/>
  <c r="H124" i="36"/>
  <c r="H123" i="36"/>
  <c r="H121" i="36"/>
  <c r="H120" i="36"/>
  <c r="H119" i="36"/>
  <c r="H118" i="36"/>
  <c r="D144" i="36"/>
  <c r="D143" i="36"/>
  <c r="A107" i="36"/>
  <c r="G29" i="36" l="1"/>
  <c r="C57" i="28"/>
  <c r="F57" i="28" s="1"/>
  <c r="C71" i="36"/>
  <c r="G71" i="36" s="1"/>
  <c r="C30" i="36"/>
  <c r="G30" i="36" s="1"/>
  <c r="A668" i="30"/>
  <c r="A667" i="30"/>
  <c r="A662" i="30"/>
  <c r="A661" i="30"/>
  <c r="P29" i="36" l="1"/>
  <c r="C58" i="28"/>
  <c r="F58" i="28" s="1"/>
  <c r="P70" i="36"/>
  <c r="C31" i="36"/>
  <c r="G31" i="36" s="1"/>
  <c r="C72" i="36"/>
  <c r="G72" i="36" s="1"/>
  <c r="C59" i="28" l="1"/>
  <c r="F59" i="28" s="1"/>
  <c r="P71" i="36"/>
  <c r="P30" i="36"/>
  <c r="C32" i="36"/>
  <c r="G32" i="36" s="1"/>
  <c r="C73" i="36"/>
  <c r="G73" i="36" s="1"/>
  <c r="C60" i="28" l="1"/>
  <c r="F60" i="28" s="1"/>
  <c r="P31" i="36"/>
  <c r="P72" i="36"/>
  <c r="C33" i="36"/>
  <c r="G33" i="36" s="1"/>
  <c r="C74" i="36"/>
  <c r="G74" i="36" s="1"/>
  <c r="C61" i="28" l="1"/>
  <c r="F61" i="28" s="1"/>
  <c r="P32" i="36"/>
  <c r="P73" i="36"/>
  <c r="C34" i="36"/>
  <c r="G34" i="36" s="1"/>
  <c r="C75" i="36"/>
  <c r="G75" i="36" s="1"/>
  <c r="C62" i="28" l="1"/>
  <c r="F62" i="28" s="1"/>
  <c r="P33" i="36"/>
  <c r="P74" i="36"/>
  <c r="C35" i="36"/>
  <c r="G35" i="36" s="1"/>
  <c r="C76" i="36"/>
  <c r="G76" i="36" s="1"/>
  <c r="E677" i="30"/>
  <c r="E682" i="30"/>
  <c r="E678" i="30"/>
  <c r="F256" i="36"/>
  <c r="K74" i="36" s="1"/>
  <c r="G263" i="36"/>
  <c r="F257" i="36"/>
  <c r="F191" i="36"/>
  <c r="P191" i="36"/>
  <c r="J191" i="36"/>
  <c r="I191" i="36"/>
  <c r="H191" i="36"/>
  <c r="G191" i="36"/>
  <c r="E191" i="36"/>
  <c r="A183" i="36"/>
  <c r="K268" i="36"/>
  <c r="A169" i="36"/>
  <c r="O298" i="39"/>
  <c r="L298" i="39"/>
  <c r="O259" i="36"/>
  <c r="L259" i="36"/>
  <c r="L129" i="28"/>
  <c r="A166" i="36"/>
  <c r="A616" i="30"/>
  <c r="A623" i="30"/>
  <c r="A615" i="30"/>
  <c r="I80" i="73" s="1"/>
  <c r="BI80" i="73" s="1"/>
  <c r="A177" i="36"/>
  <c r="A176" i="36"/>
  <c r="A165" i="36"/>
  <c r="B8" i="41"/>
  <c r="B249" i="36"/>
  <c r="B250" i="36"/>
  <c r="K92" i="41"/>
  <c r="L143" i="28" s="1"/>
  <c r="K91" i="41"/>
  <c r="L142" i="28" s="1"/>
  <c r="AB39" i="28" s="1"/>
  <c r="K90" i="41"/>
  <c r="L141" i="28" s="1"/>
  <c r="C12" i="28"/>
  <c r="F12" i="28" s="1"/>
  <c r="G126" i="28"/>
  <c r="G127" i="28"/>
  <c r="H134" i="28"/>
  <c r="H137" i="28"/>
  <c r="K150" i="28"/>
  <c r="H138" i="28"/>
  <c r="X61" i="28" s="1"/>
  <c r="H135" i="28"/>
  <c r="K151" i="28"/>
  <c r="K152" i="28"/>
  <c r="K153" i="28"/>
  <c r="K154" i="28"/>
  <c r="A657" i="30"/>
  <c r="A656" i="30"/>
  <c r="A655" i="30"/>
  <c r="A660" i="30"/>
  <c r="A659" i="30"/>
  <c r="A654" i="30"/>
  <c r="A653" i="30"/>
  <c r="L299" i="39"/>
  <c r="F338" i="39"/>
  <c r="F333" i="39"/>
  <c r="F339" i="39"/>
  <c r="D337" i="39"/>
  <c r="F340" i="39"/>
  <c r="F341" i="39"/>
  <c r="J279" i="39"/>
  <c r="F330" i="39"/>
  <c r="K300" i="39"/>
  <c r="H259" i="36"/>
  <c r="H260" i="36"/>
  <c r="H258" i="36"/>
  <c r="I129" i="28"/>
  <c r="I130" i="28"/>
  <c r="I128" i="28"/>
  <c r="G298" i="39"/>
  <c r="G299" i="39"/>
  <c r="G297" i="39"/>
  <c r="F327" i="39"/>
  <c r="G327" i="39"/>
  <c r="F328" i="39"/>
  <c r="G328" i="39"/>
  <c r="G326" i="39"/>
  <c r="F326" i="39"/>
  <c r="D326" i="39"/>
  <c r="D327" i="39"/>
  <c r="D328" i="39"/>
  <c r="D325" i="39"/>
  <c r="C293" i="39"/>
  <c r="C294" i="39" s="1"/>
  <c r="C295" i="39" s="1"/>
  <c r="C323" i="39"/>
  <c r="B183" i="41"/>
  <c r="J275" i="39"/>
  <c r="E295" i="39"/>
  <c r="F304" i="39"/>
  <c r="E296" i="39"/>
  <c r="F314" i="39"/>
  <c r="J269" i="39"/>
  <c r="H24" i="41"/>
  <c r="A391" i="30"/>
  <c r="A4" i="28"/>
  <c r="A7" i="28"/>
  <c r="A8" i="28"/>
  <c r="A10" i="28"/>
  <c r="A33" i="28"/>
  <c r="A34" i="28"/>
  <c r="A80" i="28"/>
  <c r="A117" i="28"/>
  <c r="A118" i="28"/>
  <c r="K128" i="28"/>
  <c r="L128" i="28"/>
  <c r="K129" i="28"/>
  <c r="N129" i="28" s="1"/>
  <c r="I137" i="28"/>
  <c r="I138" i="28"/>
  <c r="D140" i="28"/>
  <c r="G141" i="28"/>
  <c r="I141" i="28"/>
  <c r="J141" i="28"/>
  <c r="M141" i="28"/>
  <c r="G142" i="28"/>
  <c r="I142" i="28"/>
  <c r="J142" i="28"/>
  <c r="M142" i="28"/>
  <c r="G143" i="28"/>
  <c r="I143" i="28"/>
  <c r="J143" i="28"/>
  <c r="M143" i="28"/>
  <c r="D148" i="28"/>
  <c r="A156" i="28"/>
  <c r="A365" i="30"/>
  <c r="A4" i="30"/>
  <c r="A6" i="30"/>
  <c r="A7" i="30"/>
  <c r="A17" i="30"/>
  <c r="A43" i="30"/>
  <c r="A164" i="30"/>
  <c r="A371" i="30"/>
  <c r="A372" i="30"/>
  <c r="A373" i="30"/>
  <c r="A374" i="30"/>
  <c r="A375" i="30"/>
  <c r="A378" i="30"/>
  <c r="A379" i="30"/>
  <c r="A380" i="30"/>
  <c r="A381" i="30"/>
  <c r="A382" i="30"/>
  <c r="A383" i="30"/>
  <c r="A384" i="30"/>
  <c r="U387" i="30"/>
  <c r="U388" i="30"/>
  <c r="A393" i="30"/>
  <c r="A394" i="30"/>
  <c r="A395" i="30"/>
  <c r="A396" i="30"/>
  <c r="A397" i="30"/>
  <c r="A398" i="30"/>
  <c r="A399" i="30"/>
  <c r="A400" i="30"/>
  <c r="A401" i="30"/>
  <c r="A402" i="30"/>
  <c r="A403" i="30"/>
  <c r="A404" i="30"/>
  <c r="A405" i="30"/>
  <c r="A406" i="30"/>
  <c r="A407" i="30"/>
  <c r="A408" i="30"/>
  <c r="A409" i="30"/>
  <c r="A410" i="30"/>
  <c r="A411" i="30"/>
  <c r="A412" i="30"/>
  <c r="A413" i="30"/>
  <c r="A414" i="30"/>
  <c r="A415" i="30"/>
  <c r="A416" i="30"/>
  <c r="A417" i="30"/>
  <c r="A418" i="30"/>
  <c r="A419" i="30"/>
  <c r="A420" i="30"/>
  <c r="A421" i="30"/>
  <c r="A422" i="30"/>
  <c r="A423" i="30"/>
  <c r="A424" i="30"/>
  <c r="I39" i="73" s="1"/>
  <c r="BI39" i="73" s="1"/>
  <c r="A425" i="30"/>
  <c r="A426" i="30"/>
  <c r="A427" i="30"/>
  <c r="A428" i="30"/>
  <c r="A429" i="30"/>
  <c r="A430" i="30"/>
  <c r="A431" i="30"/>
  <c r="A432" i="30"/>
  <c r="A433" i="30"/>
  <c r="A434" i="30"/>
  <c r="A435" i="30"/>
  <c r="A436" i="30"/>
  <c r="A437" i="30"/>
  <c r="A438" i="30"/>
  <c r="A439" i="30"/>
  <c r="A454" i="30"/>
  <c r="A455" i="30"/>
  <c r="A456" i="30"/>
  <c r="A457" i="30"/>
  <c r="A458" i="30"/>
  <c r="A459" i="30"/>
  <c r="A460" i="30"/>
  <c r="A461" i="30"/>
  <c r="A462" i="30"/>
  <c r="A463" i="30"/>
  <c r="A464" i="30"/>
  <c r="A465" i="30"/>
  <c r="A466" i="30"/>
  <c r="A467" i="30"/>
  <c r="A468" i="30"/>
  <c r="A469" i="30"/>
  <c r="A470" i="30"/>
  <c r="A471" i="30"/>
  <c r="U471" i="30"/>
  <c r="A472" i="30"/>
  <c r="U472" i="30"/>
  <c r="A473" i="30"/>
  <c r="U473" i="30"/>
  <c r="A474" i="30"/>
  <c r="U474" i="30"/>
  <c r="A475" i="30"/>
  <c r="U475" i="30"/>
  <c r="A476" i="30"/>
  <c r="U476" i="30"/>
  <c r="A477" i="30"/>
  <c r="A478" i="30"/>
  <c r="A479" i="30"/>
  <c r="A480" i="30"/>
  <c r="A481" i="30"/>
  <c r="A482" i="30"/>
  <c r="A483" i="30"/>
  <c r="A484" i="30"/>
  <c r="A485" i="30"/>
  <c r="A486" i="30"/>
  <c r="A489" i="30"/>
  <c r="A490" i="30"/>
  <c r="I40" i="73" s="1"/>
  <c r="BI40" i="73" s="1"/>
  <c r="A491" i="30"/>
  <c r="A492" i="30"/>
  <c r="A493" i="30"/>
  <c r="U493" i="30"/>
  <c r="A494" i="30"/>
  <c r="U494" i="30"/>
  <c r="A496" i="30"/>
  <c r="A497" i="30"/>
  <c r="A498" i="30"/>
  <c r="A499" i="30"/>
  <c r="A500" i="30"/>
  <c r="A501" i="30"/>
  <c r="A502" i="30"/>
  <c r="A503" i="30"/>
  <c r="A504" i="30"/>
  <c r="A505" i="30"/>
  <c r="A507" i="30"/>
  <c r="A508" i="30"/>
  <c r="A509" i="30"/>
  <c r="A510" i="30"/>
  <c r="A511" i="30"/>
  <c r="A512" i="30"/>
  <c r="A513" i="30"/>
  <c r="A514" i="30"/>
  <c r="A515" i="30"/>
  <c r="A516" i="30"/>
  <c r="A517" i="30"/>
  <c r="A519" i="30"/>
  <c r="A520" i="30"/>
  <c r="A521" i="30"/>
  <c r="A522" i="30"/>
  <c r="A523" i="30"/>
  <c r="A526" i="30"/>
  <c r="A527" i="30"/>
  <c r="A528" i="30"/>
  <c r="A530" i="30"/>
  <c r="A531" i="30"/>
  <c r="A532" i="30"/>
  <c r="A533" i="30"/>
  <c r="A534" i="30"/>
  <c r="A535" i="30"/>
  <c r="A536" i="30"/>
  <c r="A537" i="30"/>
  <c r="A538" i="30"/>
  <c r="A539" i="30"/>
  <c r="A540" i="30"/>
  <c r="A541" i="30"/>
  <c r="A542" i="30"/>
  <c r="A543" i="30"/>
  <c r="A544" i="30"/>
  <c r="A545" i="30"/>
  <c r="A546" i="30"/>
  <c r="I110" i="73" s="1"/>
  <c r="BI110" i="73" s="1"/>
  <c r="A547" i="30"/>
  <c r="A548" i="30"/>
  <c r="A549" i="30"/>
  <c r="A551" i="30"/>
  <c r="A552" i="30"/>
  <c r="A553" i="30"/>
  <c r="A554" i="30"/>
  <c r="A555" i="30"/>
  <c r="A556" i="30"/>
  <c r="A557" i="30"/>
  <c r="A558" i="30"/>
  <c r="A559" i="30"/>
  <c r="A560" i="30"/>
  <c r="A561" i="30"/>
  <c r="A562" i="30"/>
  <c r="A563" i="30"/>
  <c r="A564" i="30"/>
  <c r="A566" i="30"/>
  <c r="A567" i="30"/>
  <c r="A568" i="30"/>
  <c r="A569" i="30"/>
  <c r="A571" i="30"/>
  <c r="A574" i="30"/>
  <c r="A575" i="30"/>
  <c r="A579" i="30"/>
  <c r="A580" i="30"/>
  <c r="A581" i="30"/>
  <c r="A582" i="30"/>
  <c r="A583" i="30"/>
  <c r="A584" i="30"/>
  <c r="A585" i="30"/>
  <c r="A588" i="30"/>
  <c r="A590" i="30"/>
  <c r="A591" i="30"/>
  <c r="A592" i="30"/>
  <c r="A593" i="30"/>
  <c r="A594" i="30"/>
  <c r="A598" i="30"/>
  <c r="A599" i="30"/>
  <c r="A600" i="30"/>
  <c r="A601" i="30"/>
  <c r="A602" i="30"/>
  <c r="A613" i="30"/>
  <c r="A614" i="30"/>
  <c r="A622" i="30"/>
  <c r="A624" i="30"/>
  <c r="A625" i="30"/>
  <c r="A626" i="30"/>
  <c r="A627" i="30"/>
  <c r="A628" i="30"/>
  <c r="A629" i="30"/>
  <c r="A630" i="30"/>
  <c r="A631" i="30"/>
  <c r="A636" i="30"/>
  <c r="A637" i="30"/>
  <c r="A645" i="30"/>
  <c r="A646" i="30"/>
  <c r="A651" i="30"/>
  <c r="A652" i="30"/>
  <c r="A8" i="30"/>
  <c r="A9" i="30"/>
  <c r="A10" i="30"/>
  <c r="A11" i="30"/>
  <c r="A22" i="30"/>
  <c r="A28" i="30"/>
  <c r="A29" i="30"/>
  <c r="A30" i="30"/>
  <c r="P30" i="30"/>
  <c r="A31" i="30"/>
  <c r="A38" i="30"/>
  <c r="A42" i="30"/>
  <c r="A51" i="30"/>
  <c r="A54" i="30"/>
  <c r="A55" i="30"/>
  <c r="A56" i="30"/>
  <c r="A57" i="30"/>
  <c r="A60" i="30"/>
  <c r="A61" i="30"/>
  <c r="A62" i="30"/>
  <c r="A63" i="30"/>
  <c r="A64" i="30"/>
  <c r="A65" i="30"/>
  <c r="A66" i="30"/>
  <c r="U70" i="30"/>
  <c r="U71" i="30"/>
  <c r="U72" i="30"/>
  <c r="U73" i="30"/>
  <c r="U74" i="30"/>
  <c r="U75" i="30"/>
  <c r="U76" i="30"/>
  <c r="U78" i="30"/>
  <c r="U79" i="30"/>
  <c r="U80" i="30"/>
  <c r="A81" i="30"/>
  <c r="A85" i="30"/>
  <c r="U85" i="30"/>
  <c r="U86" i="30"/>
  <c r="U87" i="30"/>
  <c r="U88" i="30"/>
  <c r="A89" i="30"/>
  <c r="A90" i="30"/>
  <c r="A91" i="30"/>
  <c r="A92" i="30"/>
  <c r="A95" i="30"/>
  <c r="A96" i="30"/>
  <c r="A97" i="30"/>
  <c r="A100" i="30"/>
  <c r="A101" i="30"/>
  <c r="A103" i="30"/>
  <c r="A113" i="30"/>
  <c r="A114" i="30"/>
  <c r="A125" i="30"/>
  <c r="A126" i="30"/>
  <c r="A127" i="30"/>
  <c r="A128" i="30"/>
  <c r="A129" i="30"/>
  <c r="A130" i="30"/>
  <c r="A131" i="30"/>
  <c r="A138" i="30"/>
  <c r="A145" i="30"/>
  <c r="A146" i="30"/>
  <c r="A147" i="30"/>
  <c r="A148" i="30"/>
  <c r="A152" i="30"/>
  <c r="A153" i="30"/>
  <c r="A162" i="30"/>
  <c r="A163" i="30"/>
  <c r="A165" i="30"/>
  <c r="A166" i="30"/>
  <c r="A167" i="30"/>
  <c r="A168" i="30"/>
  <c r="A169" i="30"/>
  <c r="A170" i="30"/>
  <c r="A171" i="30"/>
  <c r="A172" i="30"/>
  <c r="I17" i="73" s="1"/>
  <c r="BI17" i="73" s="1"/>
  <c r="A173" i="30"/>
  <c r="A174" i="30"/>
  <c r="A175" i="30"/>
  <c r="A176" i="30"/>
  <c r="A154" i="30"/>
  <c r="A155" i="30"/>
  <c r="A156" i="30"/>
  <c r="A160" i="30"/>
  <c r="A161" i="30"/>
  <c r="A177" i="30"/>
  <c r="A178" i="30"/>
  <c r="A179" i="30"/>
  <c r="A180" i="30"/>
  <c r="U180" i="30"/>
  <c r="A181" i="30"/>
  <c r="U181" i="30"/>
  <c r="A182" i="30"/>
  <c r="U182" i="30"/>
  <c r="A183" i="30"/>
  <c r="U183" i="30"/>
  <c r="A184" i="30"/>
  <c r="U184" i="30"/>
  <c r="A185" i="30"/>
  <c r="U185" i="30"/>
  <c r="A186" i="30"/>
  <c r="U186" i="30"/>
  <c r="A187" i="30"/>
  <c r="I22" i="73" s="1"/>
  <c r="BI22" i="73" s="1"/>
  <c r="U187" i="30"/>
  <c r="A189" i="30"/>
  <c r="A190" i="30"/>
  <c r="A191" i="30"/>
  <c r="A192" i="30"/>
  <c r="A193" i="30"/>
  <c r="A194" i="30"/>
  <c r="A195" i="30"/>
  <c r="A199" i="30"/>
  <c r="A200" i="30"/>
  <c r="A201" i="30"/>
  <c r="A202" i="30"/>
  <c r="A204" i="30"/>
  <c r="A213" i="30"/>
  <c r="A214" i="30"/>
  <c r="A215" i="30"/>
  <c r="A216" i="30"/>
  <c r="A227" i="30"/>
  <c r="A228" i="30"/>
  <c r="A229" i="30"/>
  <c r="A230" i="30"/>
  <c r="A231" i="30"/>
  <c r="A232" i="30"/>
  <c r="A233" i="30"/>
  <c r="A236" i="30"/>
  <c r="A237" i="30"/>
  <c r="I31" i="73" s="1"/>
  <c r="BI31" i="73" s="1"/>
  <c r="A238" i="30"/>
  <c r="A239" i="30"/>
  <c r="A240" i="30"/>
  <c r="A249" i="30"/>
  <c r="A251" i="30"/>
  <c r="A252" i="30"/>
  <c r="A253" i="30"/>
  <c r="A254" i="30"/>
  <c r="A255" i="30"/>
  <c r="A258" i="30"/>
  <c r="A266" i="30"/>
  <c r="A259" i="30"/>
  <c r="A260" i="30"/>
  <c r="A261" i="30"/>
  <c r="A274" i="30"/>
  <c r="A262" i="30"/>
  <c r="A263" i="30"/>
  <c r="A264" i="30"/>
  <c r="A265" i="30"/>
  <c r="A271" i="30"/>
  <c r="A272" i="30"/>
  <c r="I30" i="73" s="1"/>
  <c r="BI30" i="73" s="1"/>
  <c r="A273" i="30"/>
  <c r="A275" i="30"/>
  <c r="A276" i="30"/>
  <c r="A278" i="30"/>
  <c r="A279" i="30"/>
  <c r="A280" i="30"/>
  <c r="A281" i="30"/>
  <c r="A283" i="30"/>
  <c r="A288" i="30"/>
  <c r="A289" i="30"/>
  <c r="A290" i="30"/>
  <c r="A291" i="30"/>
  <c r="A320" i="30"/>
  <c r="A321" i="30"/>
  <c r="A340" i="30"/>
  <c r="A341" i="30"/>
  <c r="A342" i="30"/>
  <c r="A343" i="30"/>
  <c r="A345" i="30"/>
  <c r="A346" i="30"/>
  <c r="I32" i="73" s="1"/>
  <c r="BI32" i="73" s="1"/>
  <c r="U346" i="30"/>
  <c r="A347" i="30"/>
  <c r="U347" i="30"/>
  <c r="A348" i="30"/>
  <c r="U348" i="30"/>
  <c r="A349" i="30"/>
  <c r="U349" i="30"/>
  <c r="A350" i="30"/>
  <c r="U350" i="30"/>
  <c r="A351" i="30"/>
  <c r="U351" i="30"/>
  <c r="A352" i="30"/>
  <c r="U352" i="30"/>
  <c r="A353" i="30"/>
  <c r="A354" i="30"/>
  <c r="A362" i="30"/>
  <c r="U363" i="30"/>
  <c r="A364" i="30"/>
  <c r="U365" i="30"/>
  <c r="A366" i="30"/>
  <c r="A369" i="30"/>
  <c r="U369" i="30"/>
  <c r="A370" i="30"/>
  <c r="U376" i="30"/>
  <c r="U377" i="30"/>
  <c r="U398" i="30"/>
  <c r="U399" i="30"/>
  <c r="U400" i="30"/>
  <c r="U401" i="30"/>
  <c r="U402" i="30"/>
  <c r="U405" i="30"/>
  <c r="U406" i="30"/>
  <c r="U407" i="30"/>
  <c r="U410" i="30"/>
  <c r="U411" i="30"/>
  <c r="U412" i="30"/>
  <c r="U418" i="30"/>
  <c r="U419" i="30"/>
  <c r="U422" i="30"/>
  <c r="U423" i="30"/>
  <c r="U424" i="30"/>
  <c r="U425" i="30"/>
  <c r="U426" i="30"/>
  <c r="U429" i="30"/>
  <c r="U430" i="30"/>
  <c r="U431" i="30"/>
  <c r="U434" i="30"/>
  <c r="U435" i="30"/>
  <c r="U479" i="30"/>
  <c r="U480" i="30"/>
  <c r="U481" i="30"/>
  <c r="U482" i="30"/>
  <c r="U490" i="30"/>
  <c r="U491" i="30"/>
  <c r="U492" i="30"/>
  <c r="U497" i="30"/>
  <c r="C675" i="30"/>
  <c r="C676" i="30" s="1"/>
  <c r="P190" i="36"/>
  <c r="O190" i="36"/>
  <c r="J190" i="36"/>
  <c r="I190" i="36"/>
  <c r="H190" i="36"/>
  <c r="G190" i="36"/>
  <c r="F177" i="36"/>
  <c r="E190" i="36"/>
  <c r="P189" i="36"/>
  <c r="J189" i="36"/>
  <c r="I189" i="36"/>
  <c r="H189" i="36"/>
  <c r="G189" i="36"/>
  <c r="A189" i="36" s="1"/>
  <c r="F189" i="36"/>
  <c r="C189" i="36"/>
  <c r="F174" i="36"/>
  <c r="F179" i="36"/>
  <c r="F178" i="36"/>
  <c r="F176" i="36"/>
  <c r="C124" i="28"/>
  <c r="A168" i="36"/>
  <c r="A167" i="36"/>
  <c r="A162" i="36"/>
  <c r="A185" i="36"/>
  <c r="I61" i="41"/>
  <c r="F62" i="41" s="1"/>
  <c r="B78" i="41"/>
  <c r="A275" i="39"/>
  <c r="G331" i="39"/>
  <c r="G330" i="39"/>
  <c r="O6" i="28"/>
  <c r="S6" i="28" s="1"/>
  <c r="P6" i="28"/>
  <c r="T6" i="28" s="1"/>
  <c r="Q6" i="28"/>
  <c r="U6" i="28" s="1"/>
  <c r="B9" i="28"/>
  <c r="A4" i="39"/>
  <c r="A7" i="39"/>
  <c r="A8" i="39"/>
  <c r="A9" i="39"/>
  <c r="S247" i="36"/>
  <c r="O247" i="36" s="1"/>
  <c r="L247" i="36" s="1"/>
  <c r="I247" i="36" s="1"/>
  <c r="E247" i="36" s="1"/>
  <c r="B247" i="36" s="1"/>
  <c r="B248" i="36"/>
  <c r="A10" i="39"/>
  <c r="A46" i="39"/>
  <c r="A47" i="39"/>
  <c r="A48" i="39"/>
  <c r="A49" i="39"/>
  <c r="D320" i="39"/>
  <c r="F320" i="39"/>
  <c r="A50" i="39"/>
  <c r="A64" i="39"/>
  <c r="A65" i="39"/>
  <c r="A66" i="39"/>
  <c r="A255" i="39"/>
  <c r="A258" i="39"/>
  <c r="A259" i="39"/>
  <c r="A263" i="39"/>
  <c r="A264" i="39"/>
  <c r="J264" i="39"/>
  <c r="F337" i="39"/>
  <c r="A265" i="39"/>
  <c r="J265" i="39"/>
  <c r="A266" i="39"/>
  <c r="J266" i="39"/>
  <c r="A267" i="39"/>
  <c r="J267" i="39"/>
  <c r="A268" i="39"/>
  <c r="J268" i="39"/>
  <c r="A269" i="39"/>
  <c r="A270" i="39"/>
  <c r="J270" i="39"/>
  <c r="A271" i="39"/>
  <c r="A274" i="39"/>
  <c r="A276" i="39"/>
  <c r="A277" i="39"/>
  <c r="A278" i="39"/>
  <c r="J278" i="39"/>
  <c r="A279" i="39"/>
  <c r="A280" i="39"/>
  <c r="J280" i="39"/>
  <c r="A281" i="39"/>
  <c r="A282" i="39"/>
  <c r="A283" i="39"/>
  <c r="J283" i="39"/>
  <c r="A285" i="39"/>
  <c r="A286" i="39"/>
  <c r="K297" i="39"/>
  <c r="E297" i="39" s="1"/>
  <c r="L297" i="39"/>
  <c r="K298" i="39"/>
  <c r="F331" i="39"/>
  <c r="M320" i="39"/>
  <c r="I48" i="62"/>
  <c r="E19" i="62"/>
  <c r="B17" i="62"/>
  <c r="B30" i="62"/>
  <c r="E14" i="62"/>
  <c r="E12" i="62"/>
  <c r="B10" i="62"/>
  <c r="B113" i="41"/>
  <c r="B172" i="41"/>
  <c r="B173" i="41" s="1"/>
  <c r="L258" i="36"/>
  <c r="A182" i="36"/>
  <c r="A174" i="36"/>
  <c r="T247" i="36"/>
  <c r="P247" i="36" s="1"/>
  <c r="M247" i="36" s="1"/>
  <c r="J247" i="36" s="1"/>
  <c r="G247" i="36" s="1"/>
  <c r="Q247" i="36"/>
  <c r="N247" i="36" s="1"/>
  <c r="K247" i="36" s="1"/>
  <c r="A246" i="36"/>
  <c r="A245" i="36"/>
  <c r="A244" i="36"/>
  <c r="A243" i="36"/>
  <c r="A242" i="36"/>
  <c r="A241" i="36"/>
  <c r="K259" i="36"/>
  <c r="K258" i="36"/>
  <c r="A4" i="36"/>
  <c r="A7" i="36"/>
  <c r="A8" i="36"/>
  <c r="A64" i="36"/>
  <c r="A65" i="36"/>
  <c r="A160" i="36"/>
  <c r="A161" i="36"/>
  <c r="A172" i="36"/>
  <c r="A178" i="36"/>
  <c r="A179" i="36"/>
  <c r="A194" i="36"/>
  <c r="A195" i="36"/>
  <c r="A223" i="36"/>
  <c r="I29" i="41"/>
  <c r="H198" i="41"/>
  <c r="H215" i="41"/>
  <c r="H216" i="41"/>
  <c r="H217" i="41"/>
  <c r="H218" i="41"/>
  <c r="H214" i="41"/>
  <c r="J117" i="41"/>
  <c r="C254" i="36"/>
  <c r="B55" i="41"/>
  <c r="H23" i="41"/>
  <c r="D67" i="73" l="1"/>
  <c r="AW67" i="73" s="1"/>
  <c r="D66" i="73"/>
  <c r="N244" i="39"/>
  <c r="L243" i="39"/>
  <c r="N242" i="39"/>
  <c r="L241" i="39"/>
  <c r="N240" i="39"/>
  <c r="L239" i="39"/>
  <c r="N238" i="39"/>
  <c r="M244" i="39"/>
  <c r="M242" i="39"/>
  <c r="M240" i="39"/>
  <c r="M238" i="39"/>
  <c r="L244" i="39"/>
  <c r="N243" i="39"/>
  <c r="L242" i="39"/>
  <c r="N241" i="39"/>
  <c r="L240" i="39"/>
  <c r="N239" i="39"/>
  <c r="L238" i="39"/>
  <c r="M243" i="39"/>
  <c r="M239" i="39"/>
  <c r="M241" i="39"/>
  <c r="W243" i="39"/>
  <c r="W241" i="39"/>
  <c r="W239" i="39"/>
  <c r="W242" i="39"/>
  <c r="W238" i="39"/>
  <c r="W240" i="39"/>
  <c r="W244" i="39"/>
  <c r="P240" i="39"/>
  <c r="P239" i="39"/>
  <c r="P242" i="39"/>
  <c r="P241" i="39"/>
  <c r="P244" i="39"/>
  <c r="P243" i="39"/>
  <c r="P238" i="39"/>
  <c r="P247" i="39"/>
  <c r="P246" i="39"/>
  <c r="P249" i="39"/>
  <c r="P248" i="39"/>
  <c r="P250" i="39"/>
  <c r="P245" i="39"/>
  <c r="L250" i="39"/>
  <c r="N249" i="39"/>
  <c r="L248" i="39"/>
  <c r="N247" i="39"/>
  <c r="L246" i="39"/>
  <c r="N245" i="39"/>
  <c r="M249" i="39"/>
  <c r="M247" i="39"/>
  <c r="M245" i="39"/>
  <c r="N250" i="39"/>
  <c r="L249" i="39"/>
  <c r="N248" i="39"/>
  <c r="L247" i="39"/>
  <c r="N246" i="39"/>
  <c r="L245" i="39"/>
  <c r="M250" i="39"/>
  <c r="M246" i="39"/>
  <c r="M248" i="39"/>
  <c r="W250" i="39"/>
  <c r="W248" i="39"/>
  <c r="W246" i="39"/>
  <c r="W249" i="39"/>
  <c r="W245" i="39"/>
  <c r="W247" i="39"/>
  <c r="P207" i="39"/>
  <c r="P218" i="39"/>
  <c r="P212" i="39"/>
  <c r="P231" i="39"/>
  <c r="M224" i="39"/>
  <c r="M222" i="39"/>
  <c r="M220" i="39"/>
  <c r="M218" i="39"/>
  <c r="M216" i="39"/>
  <c r="M214" i="39"/>
  <c r="M212" i="39"/>
  <c r="M210" i="39"/>
  <c r="M208" i="39"/>
  <c r="M206" i="39"/>
  <c r="N225" i="39"/>
  <c r="L224" i="39"/>
  <c r="N223" i="39"/>
  <c r="L222" i="39"/>
  <c r="L225" i="39"/>
  <c r="N221" i="39"/>
  <c r="N220" i="39"/>
  <c r="L217" i="39"/>
  <c r="M215" i="39"/>
  <c r="L214" i="39"/>
  <c r="N213" i="39"/>
  <c r="N212" i="39"/>
  <c r="L209" i="39"/>
  <c r="M207" i="39"/>
  <c r="L206" i="39"/>
  <c r="M223" i="39"/>
  <c r="N222" i="39"/>
  <c r="M221" i="39"/>
  <c r="L220" i="39"/>
  <c r="N219" i="39"/>
  <c r="N218" i="39"/>
  <c r="L215" i="39"/>
  <c r="M213" i="39"/>
  <c r="L212" i="39"/>
  <c r="N211" i="39"/>
  <c r="N210" i="39"/>
  <c r="L207" i="39"/>
  <c r="L223" i="39"/>
  <c r="L221" i="39"/>
  <c r="M219" i="39"/>
  <c r="L218" i="39"/>
  <c r="N217" i="39"/>
  <c r="N216" i="39"/>
  <c r="L213" i="39"/>
  <c r="M211" i="39"/>
  <c r="L210" i="39"/>
  <c r="N209" i="39"/>
  <c r="N208" i="39"/>
  <c r="M225" i="39"/>
  <c r="N224" i="39"/>
  <c r="L219" i="39"/>
  <c r="M217" i="39"/>
  <c r="N215" i="39"/>
  <c r="L216" i="39"/>
  <c r="N206" i="39"/>
  <c r="L211" i="39"/>
  <c r="L208" i="39"/>
  <c r="N207" i="39"/>
  <c r="N214" i="39"/>
  <c r="M209" i="39"/>
  <c r="W225" i="39"/>
  <c r="W223" i="39"/>
  <c r="W221" i="39"/>
  <c r="W217" i="39"/>
  <c r="W209" i="39"/>
  <c r="W215" i="39"/>
  <c r="W207" i="39"/>
  <c r="W224" i="39"/>
  <c r="W213" i="39"/>
  <c r="W219" i="39"/>
  <c r="W211" i="39"/>
  <c r="W208" i="39"/>
  <c r="W216" i="39"/>
  <c r="W214" i="39"/>
  <c r="W222" i="39"/>
  <c r="W218" i="39"/>
  <c r="W210" i="39"/>
  <c r="W220" i="39"/>
  <c r="W212" i="39"/>
  <c r="W206" i="39"/>
  <c r="P223" i="39"/>
  <c r="P219" i="39"/>
  <c r="P211" i="39"/>
  <c r="P217" i="39"/>
  <c r="P209" i="39"/>
  <c r="P215" i="39"/>
  <c r="P221" i="39"/>
  <c r="P213" i="39"/>
  <c r="P208" i="39"/>
  <c r="P216" i="39"/>
  <c r="P220" i="39"/>
  <c r="P122" i="39"/>
  <c r="P222" i="39"/>
  <c r="P127" i="39"/>
  <c r="P224" i="39"/>
  <c r="P210" i="39"/>
  <c r="P121" i="39"/>
  <c r="P214" i="39"/>
  <c r="M126" i="39"/>
  <c r="M124" i="39"/>
  <c r="M127" i="39"/>
  <c r="L126" i="39"/>
  <c r="N125" i="39"/>
  <c r="N124" i="39"/>
  <c r="N123" i="39"/>
  <c r="L122" i="39"/>
  <c r="N121" i="39"/>
  <c r="L127" i="39"/>
  <c r="M125" i="39"/>
  <c r="L124" i="39"/>
  <c r="M123" i="39"/>
  <c r="M121" i="39"/>
  <c r="N122" i="39"/>
  <c r="N127" i="39"/>
  <c r="M122" i="39"/>
  <c r="L121" i="39"/>
  <c r="N126" i="39"/>
  <c r="L125" i="39"/>
  <c r="L123" i="39"/>
  <c r="W127" i="39"/>
  <c r="W122" i="39"/>
  <c r="W125" i="39"/>
  <c r="W123" i="39"/>
  <c r="W126" i="39"/>
  <c r="W121" i="39"/>
  <c r="W124" i="39"/>
  <c r="P123" i="39"/>
  <c r="P125" i="39"/>
  <c r="P124" i="39"/>
  <c r="P126" i="39"/>
  <c r="P188" i="39"/>
  <c r="M191" i="39"/>
  <c r="M190" i="39"/>
  <c r="M188" i="39"/>
  <c r="M186" i="39"/>
  <c r="M184" i="39"/>
  <c r="M181" i="39"/>
  <c r="N192" i="39"/>
  <c r="L191" i="39"/>
  <c r="L190" i="39"/>
  <c r="N189" i="39"/>
  <c r="L188" i="39"/>
  <c r="N187" i="39"/>
  <c r="L186" i="39"/>
  <c r="N185" i="39"/>
  <c r="L192" i="39"/>
  <c r="L189" i="39"/>
  <c r="L185" i="39"/>
  <c r="L183" i="39"/>
  <c r="M182" i="39"/>
  <c r="L181" i="39"/>
  <c r="N180" i="39"/>
  <c r="N190" i="39"/>
  <c r="M187" i="39"/>
  <c r="N186" i="39"/>
  <c r="N184" i="39"/>
  <c r="L182" i="39"/>
  <c r="M180" i="39"/>
  <c r="L187" i="39"/>
  <c r="L184" i="39"/>
  <c r="N183" i="39"/>
  <c r="L180" i="39"/>
  <c r="M192" i="39"/>
  <c r="N191" i="39"/>
  <c r="M189" i="39"/>
  <c r="N188" i="39"/>
  <c r="M185" i="39"/>
  <c r="M183" i="39"/>
  <c r="N182" i="39"/>
  <c r="N181" i="39"/>
  <c r="W192" i="39"/>
  <c r="W189" i="39"/>
  <c r="W187" i="39"/>
  <c r="W185" i="39"/>
  <c r="W183" i="39"/>
  <c r="W182" i="39"/>
  <c r="W191" i="39"/>
  <c r="W188" i="39"/>
  <c r="W180" i="39"/>
  <c r="W181" i="39"/>
  <c r="W186" i="39"/>
  <c r="W190" i="39"/>
  <c r="W184" i="39"/>
  <c r="P187" i="39"/>
  <c r="P183" i="39"/>
  <c r="P192" i="39"/>
  <c r="P189" i="39"/>
  <c r="P182" i="39"/>
  <c r="P180" i="39"/>
  <c r="P186" i="39"/>
  <c r="P190" i="39"/>
  <c r="P184" i="39"/>
  <c r="P181" i="39"/>
  <c r="M168" i="39"/>
  <c r="M166" i="39"/>
  <c r="M164" i="39"/>
  <c r="M162" i="39"/>
  <c r="M160" i="39"/>
  <c r="N168" i="39"/>
  <c r="L165" i="39"/>
  <c r="M163" i="39"/>
  <c r="L162" i="39"/>
  <c r="N161" i="39"/>
  <c r="N160" i="39"/>
  <c r="N159" i="39"/>
  <c r="L168" i="39"/>
  <c r="N167" i="39"/>
  <c r="N166" i="39"/>
  <c r="L163" i="39"/>
  <c r="M161" i="39"/>
  <c r="L160" i="39"/>
  <c r="M159" i="39"/>
  <c r="L167" i="39"/>
  <c r="N164" i="39"/>
  <c r="N162" i="39"/>
  <c r="L161" i="39"/>
  <c r="L159" i="39"/>
  <c r="L166" i="39"/>
  <c r="L164" i="39"/>
  <c r="N165" i="39"/>
  <c r="N163" i="39"/>
  <c r="M167" i="39"/>
  <c r="M165" i="39"/>
  <c r="W165" i="39"/>
  <c r="W163" i="39"/>
  <c r="W167" i="39"/>
  <c r="W161" i="39"/>
  <c r="W164" i="39"/>
  <c r="W160" i="39"/>
  <c r="W159" i="39"/>
  <c r="W162" i="39"/>
  <c r="W166" i="39"/>
  <c r="W168" i="39"/>
  <c r="P167" i="39"/>
  <c r="P165" i="39"/>
  <c r="P163" i="39"/>
  <c r="P168" i="39"/>
  <c r="P159" i="39"/>
  <c r="P161" i="39"/>
  <c r="P166" i="39"/>
  <c r="P164" i="39"/>
  <c r="P160" i="39"/>
  <c r="P162" i="39"/>
  <c r="P145" i="39"/>
  <c r="P155" i="39"/>
  <c r="P136" i="39"/>
  <c r="P154" i="39"/>
  <c r="P144" i="39"/>
  <c r="M156" i="39"/>
  <c r="M154" i="39"/>
  <c r="M152" i="39"/>
  <c r="M150" i="39"/>
  <c r="L156" i="39"/>
  <c r="N155" i="39"/>
  <c r="L154" i="39"/>
  <c r="N153" i="39"/>
  <c r="L152" i="39"/>
  <c r="N151" i="39"/>
  <c r="L150" i="39"/>
  <c r="M155" i="39"/>
  <c r="N154" i="39"/>
  <c r="M151" i="39"/>
  <c r="N150" i="39"/>
  <c r="L155" i="39"/>
  <c r="L151" i="39"/>
  <c r="M153" i="39"/>
  <c r="N152" i="39"/>
  <c r="N156" i="39"/>
  <c r="L153" i="39"/>
  <c r="W155" i="39"/>
  <c r="W153" i="39"/>
  <c r="W151" i="39"/>
  <c r="W156" i="39"/>
  <c r="W154" i="39"/>
  <c r="W150" i="39"/>
  <c r="W152" i="39"/>
  <c r="P153" i="39"/>
  <c r="P151" i="39"/>
  <c r="P152" i="39"/>
  <c r="P156" i="39"/>
  <c r="P150" i="39"/>
  <c r="P143" i="39"/>
  <c r="P141" i="39"/>
  <c r="P146" i="39"/>
  <c r="P149" i="39"/>
  <c r="P142" i="39"/>
  <c r="P140" i="39"/>
  <c r="P147" i="39"/>
  <c r="P148" i="39"/>
  <c r="N149" i="39"/>
  <c r="L148" i="39"/>
  <c r="N147" i="39"/>
  <c r="L146" i="39"/>
  <c r="N145" i="39"/>
  <c r="L144" i="39"/>
  <c r="N143" i="39"/>
  <c r="L142" i="39"/>
  <c r="N141" i="39"/>
  <c r="L140" i="39"/>
  <c r="M149" i="39"/>
  <c r="M147" i="39"/>
  <c r="M145" i="39"/>
  <c r="M143" i="39"/>
  <c r="M141" i="39"/>
  <c r="L149" i="39"/>
  <c r="N148" i="39"/>
  <c r="L147" i="39"/>
  <c r="N146" i="39"/>
  <c r="N142" i="39"/>
  <c r="L145" i="39"/>
  <c r="O145" i="39" s="1"/>
  <c r="M142" i="39"/>
  <c r="L141" i="39"/>
  <c r="M146" i="39"/>
  <c r="N144" i="39"/>
  <c r="N140" i="39"/>
  <c r="M148" i="39"/>
  <c r="M144" i="39"/>
  <c r="L143" i="39"/>
  <c r="M140" i="39"/>
  <c r="W148" i="39"/>
  <c r="W146" i="39"/>
  <c r="W142" i="39"/>
  <c r="W144" i="39"/>
  <c r="W140" i="39"/>
  <c r="W149" i="39"/>
  <c r="W141" i="39"/>
  <c r="W147" i="39"/>
  <c r="W145" i="39"/>
  <c r="W143" i="39"/>
  <c r="M139" i="39"/>
  <c r="M137" i="39"/>
  <c r="M136" i="39"/>
  <c r="M134" i="39"/>
  <c r="M132" i="39"/>
  <c r="L139" i="39"/>
  <c r="N138" i="39"/>
  <c r="L137" i="39"/>
  <c r="L136" i="39"/>
  <c r="N135" i="39"/>
  <c r="L134" i="39"/>
  <c r="N133" i="39"/>
  <c r="L132" i="39"/>
  <c r="M138" i="39"/>
  <c r="N139" i="39"/>
  <c r="L138" i="39"/>
  <c r="N136" i="39"/>
  <c r="M133" i="39"/>
  <c r="N132" i="39"/>
  <c r="L133" i="39"/>
  <c r="M135" i="39"/>
  <c r="N134" i="39"/>
  <c r="N137" i="39"/>
  <c r="L135" i="39"/>
  <c r="W138" i="39"/>
  <c r="W135" i="39"/>
  <c r="W133" i="39"/>
  <c r="W137" i="39"/>
  <c r="W139" i="39"/>
  <c r="W136" i="39"/>
  <c r="W132" i="39"/>
  <c r="W134" i="39"/>
  <c r="P135" i="39"/>
  <c r="P138" i="39"/>
  <c r="P133" i="39"/>
  <c r="P134" i="39"/>
  <c r="P139" i="39"/>
  <c r="P137" i="39"/>
  <c r="P132" i="39"/>
  <c r="M118" i="39"/>
  <c r="M116" i="39"/>
  <c r="M114" i="39"/>
  <c r="N118" i="39"/>
  <c r="L115" i="39"/>
  <c r="M113" i="39"/>
  <c r="L118" i="39"/>
  <c r="N117" i="39"/>
  <c r="N116" i="39"/>
  <c r="L113" i="39"/>
  <c r="M117" i="39"/>
  <c r="L116" i="39"/>
  <c r="N115" i="39"/>
  <c r="N114" i="39"/>
  <c r="L117" i="39"/>
  <c r="M115" i="39"/>
  <c r="L114" i="39"/>
  <c r="N113" i="39"/>
  <c r="W115" i="39"/>
  <c r="W113" i="39"/>
  <c r="W117" i="39"/>
  <c r="W114" i="39"/>
  <c r="W116" i="39"/>
  <c r="W118" i="39"/>
  <c r="P117" i="39"/>
  <c r="P115" i="39"/>
  <c r="P113" i="39"/>
  <c r="P116" i="39"/>
  <c r="P114" i="39"/>
  <c r="P118" i="39"/>
  <c r="N106" i="39"/>
  <c r="L105" i="39"/>
  <c r="N104" i="39"/>
  <c r="L103" i="39"/>
  <c r="M106" i="39"/>
  <c r="M104" i="39"/>
  <c r="L106" i="39"/>
  <c r="N105" i="39"/>
  <c r="L104" i="39"/>
  <c r="N103" i="39"/>
  <c r="M105" i="39"/>
  <c r="M103" i="39"/>
  <c r="W105" i="39"/>
  <c r="W103" i="39"/>
  <c r="W104" i="39"/>
  <c r="W106" i="39"/>
  <c r="P106" i="39"/>
  <c r="P105" i="39"/>
  <c r="P103" i="39"/>
  <c r="P104" i="39"/>
  <c r="P42" i="39"/>
  <c r="P38" i="39"/>
  <c r="P34" i="39"/>
  <c r="P33" i="39"/>
  <c r="P41" i="39"/>
  <c r="P32" i="39"/>
  <c r="P39" i="39"/>
  <c r="P36" i="39"/>
  <c r="P40" i="39"/>
  <c r="P31" i="39"/>
  <c r="P37" i="39"/>
  <c r="P30" i="39"/>
  <c r="P35" i="39"/>
  <c r="P29" i="39"/>
  <c r="N42" i="39"/>
  <c r="L41" i="39"/>
  <c r="N40" i="39"/>
  <c r="L39" i="39"/>
  <c r="N38" i="39"/>
  <c r="L37" i="39"/>
  <c r="N36" i="39"/>
  <c r="L35" i="39"/>
  <c r="N34" i="39"/>
  <c r="L33" i="39"/>
  <c r="N32" i="39"/>
  <c r="L31" i="39"/>
  <c r="N30" i="39"/>
  <c r="L29" i="39"/>
  <c r="M42" i="39"/>
  <c r="M40" i="39"/>
  <c r="M38" i="39"/>
  <c r="M36" i="39"/>
  <c r="M34" i="39"/>
  <c r="L42" i="39"/>
  <c r="M39" i="39"/>
  <c r="L38" i="39"/>
  <c r="M35" i="39"/>
  <c r="L34" i="39"/>
  <c r="L32" i="39"/>
  <c r="M30" i="39"/>
  <c r="N41" i="39"/>
  <c r="N37" i="39"/>
  <c r="N33" i="39"/>
  <c r="N31" i="39"/>
  <c r="L30" i="39"/>
  <c r="M41" i="39"/>
  <c r="L40" i="39"/>
  <c r="M37" i="39"/>
  <c r="L36" i="39"/>
  <c r="M33" i="39"/>
  <c r="M31" i="39"/>
  <c r="N29" i="39"/>
  <c r="N39" i="39"/>
  <c r="N35" i="39"/>
  <c r="M32" i="39"/>
  <c r="M29" i="39"/>
  <c r="W41" i="39"/>
  <c r="W37" i="39"/>
  <c r="W33" i="39"/>
  <c r="W39" i="39"/>
  <c r="W35" i="39"/>
  <c r="W31" i="39"/>
  <c r="W40" i="39"/>
  <c r="W32" i="39"/>
  <c r="W38" i="39"/>
  <c r="W29" i="39"/>
  <c r="W36" i="39"/>
  <c r="W30" i="39"/>
  <c r="W34" i="39"/>
  <c r="W42" i="39"/>
  <c r="M25" i="39"/>
  <c r="M23" i="39"/>
  <c r="M21" i="39"/>
  <c r="M19" i="39"/>
  <c r="M24" i="39"/>
  <c r="N26" i="39"/>
  <c r="L25" i="39"/>
  <c r="N24" i="39"/>
  <c r="L23" i="39"/>
  <c r="N22" i="39"/>
  <c r="L21" i="39"/>
  <c r="N20" i="39"/>
  <c r="L19" i="39"/>
  <c r="M26" i="39"/>
  <c r="M22" i="39"/>
  <c r="M20" i="39"/>
  <c r="N25" i="39"/>
  <c r="L24" i="39"/>
  <c r="N21" i="39"/>
  <c r="L26" i="39"/>
  <c r="N19" i="39"/>
  <c r="L20" i="39"/>
  <c r="N23" i="39"/>
  <c r="L22" i="39"/>
  <c r="W23" i="39"/>
  <c r="W19" i="39"/>
  <c r="W21" i="39"/>
  <c r="W25" i="39"/>
  <c r="W20" i="39"/>
  <c r="W26" i="39"/>
  <c r="W24" i="39"/>
  <c r="W22" i="39"/>
  <c r="P26" i="39"/>
  <c r="P20" i="39"/>
  <c r="P22" i="39"/>
  <c r="P24" i="39"/>
  <c r="P23" i="39"/>
  <c r="P21" i="39"/>
  <c r="P19" i="39"/>
  <c r="P25" i="39"/>
  <c r="M83" i="39"/>
  <c r="M81" i="39"/>
  <c r="M79" i="39"/>
  <c r="M77" i="39"/>
  <c r="N84" i="39"/>
  <c r="L83" i="39"/>
  <c r="N82" i="39"/>
  <c r="L82" i="39"/>
  <c r="L80" i="39"/>
  <c r="M78" i="39"/>
  <c r="L77" i="39"/>
  <c r="N76" i="39"/>
  <c r="M84" i="39"/>
  <c r="N83" i="39"/>
  <c r="N81" i="39"/>
  <c r="L78" i="39"/>
  <c r="M76" i="39"/>
  <c r="L84" i="39"/>
  <c r="L81" i="39"/>
  <c r="N80" i="39"/>
  <c r="N79" i="39"/>
  <c r="L76" i="39"/>
  <c r="M82" i="39"/>
  <c r="M80" i="39"/>
  <c r="L79" i="39"/>
  <c r="N78" i="39"/>
  <c r="N77" i="39"/>
  <c r="W84" i="39"/>
  <c r="W82" i="39"/>
  <c r="W80" i="39"/>
  <c r="W78" i="39"/>
  <c r="W76" i="39"/>
  <c r="W79" i="39"/>
  <c r="W77" i="39"/>
  <c r="W81" i="39"/>
  <c r="W83" i="39"/>
  <c r="P84" i="39"/>
  <c r="P80" i="39"/>
  <c r="P82" i="39"/>
  <c r="P78" i="39"/>
  <c r="P76" i="39"/>
  <c r="P83" i="39"/>
  <c r="P79" i="39"/>
  <c r="P77" i="39"/>
  <c r="P81" i="39"/>
  <c r="M16" i="39"/>
  <c r="M14" i="39"/>
  <c r="M15" i="39"/>
  <c r="N14" i="39"/>
  <c r="N15" i="39"/>
  <c r="N16" i="39"/>
  <c r="L15" i="39"/>
  <c r="L16" i="39"/>
  <c r="L14" i="39"/>
  <c r="W15" i="39"/>
  <c r="W14" i="39"/>
  <c r="W16" i="39"/>
  <c r="P15" i="39"/>
  <c r="P16" i="39"/>
  <c r="J644" i="30"/>
  <c r="I644" i="30"/>
  <c r="K644" i="30"/>
  <c r="J550" i="30"/>
  <c r="I550" i="30"/>
  <c r="K550" i="30"/>
  <c r="K506" i="30"/>
  <c r="J506" i="30"/>
  <c r="I506" i="30"/>
  <c r="I368" i="30"/>
  <c r="K367" i="30"/>
  <c r="K368" i="30"/>
  <c r="I367" i="30"/>
  <c r="J367" i="30"/>
  <c r="J368" i="30"/>
  <c r="I361" i="30"/>
  <c r="J360" i="30"/>
  <c r="K359" i="30"/>
  <c r="I357" i="30"/>
  <c r="J356" i="30"/>
  <c r="K355" i="30"/>
  <c r="I360" i="30"/>
  <c r="J359" i="30"/>
  <c r="K358" i="30"/>
  <c r="I356" i="30"/>
  <c r="J355" i="30"/>
  <c r="K361" i="30"/>
  <c r="I359" i="30"/>
  <c r="J358" i="30"/>
  <c r="K357" i="30"/>
  <c r="I355" i="30"/>
  <c r="J361" i="30"/>
  <c r="K360" i="30"/>
  <c r="I358" i="30"/>
  <c r="J357" i="30"/>
  <c r="K356" i="30"/>
  <c r="K337" i="30"/>
  <c r="I335" i="30"/>
  <c r="J337" i="30"/>
  <c r="K336" i="30"/>
  <c r="I337" i="30"/>
  <c r="J336" i="30"/>
  <c r="K335" i="30"/>
  <c r="I336" i="30"/>
  <c r="J335" i="30"/>
  <c r="I256" i="30"/>
  <c r="J257" i="30"/>
  <c r="I257" i="30"/>
  <c r="K257" i="30"/>
  <c r="K256" i="30"/>
  <c r="J256" i="30"/>
  <c r="K206" i="30"/>
  <c r="J206" i="30"/>
  <c r="I206" i="30"/>
  <c r="K188" i="30"/>
  <c r="J188" i="30"/>
  <c r="I188" i="30"/>
  <c r="K84" i="30"/>
  <c r="J84" i="30"/>
  <c r="I84" i="30"/>
  <c r="K83" i="30"/>
  <c r="I83" i="30"/>
  <c r="J83" i="30"/>
  <c r="I44" i="73"/>
  <c r="BI44" i="73" s="1"/>
  <c r="I43" i="73"/>
  <c r="BI43" i="73" s="1"/>
  <c r="I45" i="73"/>
  <c r="BI45" i="73" s="1"/>
  <c r="I46" i="73"/>
  <c r="BI46" i="73" s="1"/>
  <c r="I37" i="73"/>
  <c r="I29" i="73"/>
  <c r="BI29" i="73" s="1"/>
  <c r="I28" i="73"/>
  <c r="BI28" i="73" s="1"/>
  <c r="K77" i="30"/>
  <c r="J77" i="30"/>
  <c r="I77" i="30"/>
  <c r="I33" i="73"/>
  <c r="BI33" i="73" s="1"/>
  <c r="I34" i="73"/>
  <c r="BI34" i="73" s="1"/>
  <c r="BI20" i="73"/>
  <c r="I21" i="73"/>
  <c r="BI21" i="73" s="1"/>
  <c r="I112" i="73"/>
  <c r="BI112" i="73" s="1"/>
  <c r="I41" i="73"/>
  <c r="BI41" i="73" s="1"/>
  <c r="I42" i="73"/>
  <c r="BI42" i="73" s="1"/>
  <c r="I67" i="73"/>
  <c r="BI67" i="73" s="1"/>
  <c r="I66" i="73"/>
  <c r="BI66" i="73" s="1"/>
  <c r="D95" i="73"/>
  <c r="D94" i="73"/>
  <c r="E96" i="73"/>
  <c r="H96" i="73"/>
  <c r="AZ96" i="73"/>
  <c r="AN96" i="73" s="1"/>
  <c r="AZ97" i="73"/>
  <c r="AN97" i="73" s="1"/>
  <c r="AX97" i="73"/>
  <c r="E97" i="73"/>
  <c r="AX96" i="73"/>
  <c r="H97" i="73"/>
  <c r="B80" i="41"/>
  <c r="I114" i="73"/>
  <c r="BI114" i="73" s="1"/>
  <c r="I119" i="73"/>
  <c r="BI119" i="73" s="1"/>
  <c r="I115" i="73"/>
  <c r="BI115" i="73" s="1"/>
  <c r="I113" i="73"/>
  <c r="BI113" i="73" s="1"/>
  <c r="I79" i="73"/>
  <c r="BI79" i="73" s="1"/>
  <c r="I78" i="73"/>
  <c r="BI78" i="73" s="1"/>
  <c r="I95" i="73"/>
  <c r="BI95" i="73" s="1"/>
  <c r="I111" i="73"/>
  <c r="J324" i="30"/>
  <c r="I325" i="30"/>
  <c r="K324" i="30"/>
  <c r="J325" i="30"/>
  <c r="I326" i="30"/>
  <c r="K328" i="30"/>
  <c r="I329" i="30"/>
  <c r="J327" i="30"/>
  <c r="K329" i="30"/>
  <c r="K325" i="30"/>
  <c r="J326" i="30"/>
  <c r="I327" i="30"/>
  <c r="J329" i="30"/>
  <c r="I328" i="30"/>
  <c r="I324" i="30"/>
  <c r="K326" i="30"/>
  <c r="K327" i="30"/>
  <c r="J328" i="30"/>
  <c r="C125" i="28"/>
  <c r="C126" i="28" s="1"/>
  <c r="H110" i="36"/>
  <c r="H113" i="36"/>
  <c r="I112" i="36" s="1"/>
  <c r="H112" i="36"/>
  <c r="I111" i="36" s="1"/>
  <c r="G130" i="41"/>
  <c r="H129" i="41" s="1"/>
  <c r="G131" i="41"/>
  <c r="G104" i="41"/>
  <c r="H103" i="41" s="1"/>
  <c r="X11" i="28"/>
  <c r="X38" i="28"/>
  <c r="X39" i="28"/>
  <c r="X40" i="28"/>
  <c r="X41" i="28"/>
  <c r="X42" i="28"/>
  <c r="X43" i="28"/>
  <c r="X44" i="28"/>
  <c r="X45" i="28"/>
  <c r="X46" i="28"/>
  <c r="X47" i="28"/>
  <c r="X48" i="28"/>
  <c r="X49" i="28"/>
  <c r="X50" i="28"/>
  <c r="X51" i="28"/>
  <c r="X52" i="28"/>
  <c r="X53" i="28"/>
  <c r="X54" i="28"/>
  <c r="X55" i="28"/>
  <c r="X56" i="28"/>
  <c r="X57" i="28"/>
  <c r="X58" i="28"/>
  <c r="X59" i="28"/>
  <c r="X60" i="28"/>
  <c r="H114" i="36"/>
  <c r="I113" i="36" s="1"/>
  <c r="H109" i="36"/>
  <c r="I109" i="36"/>
  <c r="H111" i="36"/>
  <c r="I110" i="36" s="1"/>
  <c r="C13" i="28"/>
  <c r="X12" i="28"/>
  <c r="C63" i="28"/>
  <c r="F63" i="28" s="1"/>
  <c r="X62" i="28"/>
  <c r="X189" i="36"/>
  <c r="G128" i="41"/>
  <c r="G129" i="41"/>
  <c r="H128" i="41" s="1"/>
  <c r="W251" i="39"/>
  <c r="W97" i="39"/>
  <c r="W102" i="39"/>
  <c r="W101" i="39"/>
  <c r="W91" i="39"/>
  <c r="W229" i="39"/>
  <c r="W195" i="39"/>
  <c r="W252" i="39"/>
  <c r="W253" i="39"/>
  <c r="W94" i="39"/>
  <c r="W196" i="39"/>
  <c r="W201" i="39"/>
  <c r="W96" i="39"/>
  <c r="W176" i="39"/>
  <c r="W231" i="39"/>
  <c r="W174" i="39"/>
  <c r="W194" i="39"/>
  <c r="W89" i="39"/>
  <c r="W99" i="39"/>
  <c r="W199" i="39"/>
  <c r="W232" i="39"/>
  <c r="W228" i="39"/>
  <c r="W198" i="39"/>
  <c r="W233" i="39"/>
  <c r="W227" i="39"/>
  <c r="W110" i="39"/>
  <c r="W111" i="39"/>
  <c r="W109" i="39"/>
  <c r="W193" i="39"/>
  <c r="W197" i="39"/>
  <c r="W93" i="39"/>
  <c r="W200" i="39"/>
  <c r="W230" i="39"/>
  <c r="W95" i="39"/>
  <c r="W112" i="39"/>
  <c r="W254" i="39"/>
  <c r="W173" i="39"/>
  <c r="W90" i="39"/>
  <c r="W179" i="39"/>
  <c r="W226" i="39"/>
  <c r="W98" i="39"/>
  <c r="W175" i="39"/>
  <c r="W92" i="39"/>
  <c r="W100" i="39"/>
  <c r="P174" i="39"/>
  <c r="P90" i="39"/>
  <c r="P99" i="39"/>
  <c r="P109" i="39"/>
  <c r="P175" i="39"/>
  <c r="P232" i="39"/>
  <c r="P97" i="39"/>
  <c r="P193" i="39"/>
  <c r="P251" i="39"/>
  <c r="P253" i="39"/>
  <c r="P195" i="39"/>
  <c r="P92" i="39"/>
  <c r="P100" i="39"/>
  <c r="P91" i="39"/>
  <c r="P227" i="39"/>
  <c r="P110" i="39"/>
  <c r="P196" i="39"/>
  <c r="P102" i="39"/>
  <c r="P199" i="39"/>
  <c r="P89" i="39"/>
  <c r="P96" i="39"/>
  <c r="P176" i="39"/>
  <c r="P65" i="39"/>
  <c r="P101" i="39"/>
  <c r="P200" i="39"/>
  <c r="P95" i="39"/>
  <c r="P197" i="39"/>
  <c r="P254" i="39"/>
  <c r="P64" i="39"/>
  <c r="P93" i="39"/>
  <c r="P252" i="39"/>
  <c r="P233" i="39"/>
  <c r="P229" i="39"/>
  <c r="P230" i="39"/>
  <c r="P173" i="39"/>
  <c r="P111" i="39"/>
  <c r="P179" i="39"/>
  <c r="P98" i="39"/>
  <c r="P228" i="39"/>
  <c r="P94" i="39"/>
  <c r="P112" i="39"/>
  <c r="P198" i="39"/>
  <c r="P194" i="39"/>
  <c r="P58" i="39"/>
  <c r="P63" i="39"/>
  <c r="P48" i="39"/>
  <c r="L254" i="39"/>
  <c r="N253" i="39"/>
  <c r="L252" i="39"/>
  <c r="L233" i="39"/>
  <c r="BC97" i="73" s="1"/>
  <c r="N232" i="39"/>
  <c r="L231" i="39"/>
  <c r="N230" i="39"/>
  <c r="L229" i="39"/>
  <c r="N228" i="39"/>
  <c r="M227" i="39"/>
  <c r="M226" i="39"/>
  <c r="N201" i="39"/>
  <c r="M200" i="39"/>
  <c r="L198" i="39"/>
  <c r="N197" i="39"/>
  <c r="L196" i="39"/>
  <c r="N195" i="39"/>
  <c r="M194" i="39"/>
  <c r="M179" i="39"/>
  <c r="L176" i="39"/>
  <c r="N175" i="39"/>
  <c r="M174" i="39"/>
  <c r="M112" i="39"/>
  <c r="N110" i="39"/>
  <c r="L109" i="39"/>
  <c r="N101" i="39"/>
  <c r="L100" i="39"/>
  <c r="N99" i="39"/>
  <c r="L98" i="39"/>
  <c r="N96" i="39"/>
  <c r="M95" i="39"/>
  <c r="M93" i="39"/>
  <c r="N91" i="39"/>
  <c r="L90" i="39"/>
  <c r="N89" i="39"/>
  <c r="L253" i="39"/>
  <c r="N252" i="39"/>
  <c r="L251" i="39"/>
  <c r="M231" i="39"/>
  <c r="M230" i="39"/>
  <c r="N227" i="39"/>
  <c r="L226" i="39"/>
  <c r="N200" i="39"/>
  <c r="L195" i="39"/>
  <c r="N194" i="39"/>
  <c r="L179" i="39"/>
  <c r="L174" i="39"/>
  <c r="N173" i="39"/>
  <c r="M111" i="39"/>
  <c r="N102" i="39"/>
  <c r="L101" i="39"/>
  <c r="M100" i="39"/>
  <c r="M99" i="39"/>
  <c r="N98" i="39"/>
  <c r="L97" i="39"/>
  <c r="M94" i="39"/>
  <c r="L92" i="39"/>
  <c r="M252" i="39"/>
  <c r="N254" i="39"/>
  <c r="N251" i="39"/>
  <c r="M233" i="39"/>
  <c r="BD97" i="73" s="1"/>
  <c r="AR97" i="73" s="1"/>
  <c r="M232" i="39"/>
  <c r="M229" i="39"/>
  <c r="BD96" i="73" s="1"/>
  <c r="AR96" i="73" s="1"/>
  <c r="M228" i="39"/>
  <c r="M201" i="39"/>
  <c r="M199" i="39"/>
  <c r="M198" i="39"/>
  <c r="M197" i="39"/>
  <c r="N196" i="39"/>
  <c r="M193" i="39"/>
  <c r="M176" i="39"/>
  <c r="M175" i="39"/>
  <c r="L173" i="39"/>
  <c r="N112" i="39"/>
  <c r="M110" i="39"/>
  <c r="N109" i="39"/>
  <c r="L102" i="39"/>
  <c r="N97" i="39"/>
  <c r="L96" i="39"/>
  <c r="N95" i="39"/>
  <c r="L93" i="39"/>
  <c r="N92" i="39"/>
  <c r="L91" i="39"/>
  <c r="M90" i="39"/>
  <c r="M89" i="39"/>
  <c r="M254" i="39"/>
  <c r="M253" i="39"/>
  <c r="M251" i="39"/>
  <c r="L232" i="39"/>
  <c r="N231" i="39"/>
  <c r="N233" i="39"/>
  <c r="BE97" i="73" s="1"/>
  <c r="AS97" i="73" s="1"/>
  <c r="L199" i="39"/>
  <c r="L112" i="39"/>
  <c r="N111" i="39"/>
  <c r="M109" i="39"/>
  <c r="M102" i="39"/>
  <c r="M101" i="39"/>
  <c r="L95" i="39"/>
  <c r="N94" i="39"/>
  <c r="M92" i="39"/>
  <c r="M91" i="39"/>
  <c r="M196" i="39"/>
  <c r="M195" i="39"/>
  <c r="L194" i="39"/>
  <c r="N193" i="39"/>
  <c r="M173" i="39"/>
  <c r="L111" i="39"/>
  <c r="L110" i="39"/>
  <c r="M98" i="39"/>
  <c r="M97" i="39"/>
  <c r="M96" i="39"/>
  <c r="L94" i="39"/>
  <c r="N93" i="39"/>
  <c r="L230" i="39"/>
  <c r="N229" i="39"/>
  <c r="L228" i="39"/>
  <c r="L227" i="39"/>
  <c r="L197" i="39"/>
  <c r="L193" i="39"/>
  <c r="N179" i="39"/>
  <c r="N176" i="39"/>
  <c r="L175" i="39"/>
  <c r="N174" i="39"/>
  <c r="L99" i="39"/>
  <c r="L89" i="39"/>
  <c r="N226" i="39"/>
  <c r="L201" i="39"/>
  <c r="L200" i="39"/>
  <c r="N199" i="39"/>
  <c r="N198" i="39"/>
  <c r="N100" i="39"/>
  <c r="N90" i="39"/>
  <c r="W64" i="39"/>
  <c r="W65" i="39"/>
  <c r="N64" i="39"/>
  <c r="M65" i="39"/>
  <c r="N65" i="39"/>
  <c r="M64" i="39"/>
  <c r="L65" i="39"/>
  <c r="L64" i="39"/>
  <c r="B56" i="41"/>
  <c r="B58" i="41" s="1"/>
  <c r="N298" i="39"/>
  <c r="K299" i="39" s="1"/>
  <c r="P51" i="39"/>
  <c r="P55" i="39"/>
  <c r="P59" i="39"/>
  <c r="P69" i="39"/>
  <c r="P73" i="39"/>
  <c r="P50" i="39"/>
  <c r="P62" i="39"/>
  <c r="P68" i="39"/>
  <c r="P52" i="39"/>
  <c r="P56" i="39"/>
  <c r="P60" i="39"/>
  <c r="P66" i="39"/>
  <c r="P70" i="39"/>
  <c r="P74" i="39"/>
  <c r="P49" i="39"/>
  <c r="P53" i="39"/>
  <c r="P57" i="39"/>
  <c r="P61" i="39"/>
  <c r="P67" i="39"/>
  <c r="P71" i="39"/>
  <c r="P75" i="39"/>
  <c r="P54" i="39"/>
  <c r="P72" i="39"/>
  <c r="M75" i="39"/>
  <c r="M66" i="39"/>
  <c r="M67" i="39"/>
  <c r="N68" i="39"/>
  <c r="N75" i="39"/>
  <c r="N66" i="39"/>
  <c r="N67" i="39"/>
  <c r="L68" i="39"/>
  <c r="L75" i="39"/>
  <c r="L66" i="39"/>
  <c r="L67" i="39"/>
  <c r="M68" i="39"/>
  <c r="L60" i="39"/>
  <c r="M52" i="39"/>
  <c r="L59" i="39"/>
  <c r="M60" i="39"/>
  <c r="L51" i="39"/>
  <c r="N52" i="39"/>
  <c r="M59" i="39"/>
  <c r="N60" i="39"/>
  <c r="M51" i="39"/>
  <c r="N59" i="39"/>
  <c r="N51" i="39"/>
  <c r="L52" i="39"/>
  <c r="W66" i="39"/>
  <c r="W75" i="39"/>
  <c r="W68" i="39"/>
  <c r="W67" i="39"/>
  <c r="W51" i="39"/>
  <c r="W60" i="39"/>
  <c r="W52" i="39"/>
  <c r="W59" i="39"/>
  <c r="I641" i="30"/>
  <c r="M641" i="30"/>
  <c r="O641" i="30" s="1"/>
  <c r="K641" i="30"/>
  <c r="J641" i="30"/>
  <c r="M632" i="30"/>
  <c r="O632" i="30" s="1"/>
  <c r="J632" i="30"/>
  <c r="I632" i="30"/>
  <c r="K632" i="30"/>
  <c r="J608" i="30"/>
  <c r="I608" i="30"/>
  <c r="M608" i="30"/>
  <c r="O608" i="30" s="1"/>
  <c r="K608" i="30"/>
  <c r="M447" i="30"/>
  <c r="O447" i="30" s="1"/>
  <c r="K447" i="30"/>
  <c r="J447" i="30"/>
  <c r="I447" i="30"/>
  <c r="A318" i="30"/>
  <c r="K318" i="30"/>
  <c r="J318" i="30"/>
  <c r="M318" i="30"/>
  <c r="O318" i="30" s="1"/>
  <c r="I318" i="30"/>
  <c r="A310" i="30"/>
  <c r="K310" i="30"/>
  <c r="J310" i="30"/>
  <c r="M310" i="30"/>
  <c r="O310" i="30" s="1"/>
  <c r="I310" i="30"/>
  <c r="A296" i="30"/>
  <c r="M296" i="30"/>
  <c r="O296" i="30" s="1"/>
  <c r="K296" i="30"/>
  <c r="I296" i="30"/>
  <c r="J296" i="30"/>
  <c r="J282" i="30"/>
  <c r="I282" i="30"/>
  <c r="M282" i="30"/>
  <c r="O282" i="30" s="1"/>
  <c r="K282" i="30"/>
  <c r="A243" i="30"/>
  <c r="I243" i="30"/>
  <c r="M243" i="30"/>
  <c r="O243" i="30" s="1"/>
  <c r="K243" i="30"/>
  <c r="J243" i="30"/>
  <c r="M198" i="30"/>
  <c r="O198" i="30" s="1"/>
  <c r="K198" i="30"/>
  <c r="J198" i="30"/>
  <c r="I198" i="30"/>
  <c r="A151" i="30"/>
  <c r="J151" i="30"/>
  <c r="M151" i="30"/>
  <c r="O151" i="30" s="1"/>
  <c r="I151" i="30"/>
  <c r="K151" i="30"/>
  <c r="J133" i="30"/>
  <c r="M133" i="30"/>
  <c r="O133" i="30" s="1"/>
  <c r="I133" i="30"/>
  <c r="K133" i="30"/>
  <c r="J117" i="30"/>
  <c r="M117" i="30"/>
  <c r="O117" i="30" s="1"/>
  <c r="I117" i="30"/>
  <c r="K117" i="30"/>
  <c r="I106" i="30"/>
  <c r="K106" i="30"/>
  <c r="M106" i="30"/>
  <c r="O106" i="30" s="1"/>
  <c r="J106" i="30"/>
  <c r="A80" i="30"/>
  <c r="J80" i="30"/>
  <c r="I80" i="30"/>
  <c r="M80" i="30"/>
  <c r="O80" i="30" s="1"/>
  <c r="K80" i="30"/>
  <c r="I76" i="30"/>
  <c r="M76" i="30"/>
  <c r="O76" i="30" s="1"/>
  <c r="K76" i="30"/>
  <c r="J76" i="30"/>
  <c r="K633" i="30"/>
  <c r="J633" i="30"/>
  <c r="I633" i="30"/>
  <c r="M633" i="30"/>
  <c r="O633" i="30" s="1"/>
  <c r="K607" i="30"/>
  <c r="J607" i="30"/>
  <c r="I607" i="30"/>
  <c r="M607" i="30"/>
  <c r="O607" i="30" s="1"/>
  <c r="J451" i="30"/>
  <c r="I451" i="30"/>
  <c r="K451" i="30"/>
  <c r="M451" i="30"/>
  <c r="O451" i="30" s="1"/>
  <c r="J440" i="30"/>
  <c r="I440" i="30"/>
  <c r="M440" i="30"/>
  <c r="O440" i="30" s="1"/>
  <c r="K440" i="30"/>
  <c r="A317" i="30"/>
  <c r="M317" i="30"/>
  <c r="O317" i="30" s="1"/>
  <c r="K317" i="30"/>
  <c r="I317" i="30"/>
  <c r="J317" i="30"/>
  <c r="A309" i="30"/>
  <c r="M309" i="30"/>
  <c r="O309" i="30" s="1"/>
  <c r="K309" i="30"/>
  <c r="J309" i="30"/>
  <c r="I309" i="30"/>
  <c r="A300" i="30"/>
  <c r="M300" i="30"/>
  <c r="O300" i="30" s="1"/>
  <c r="K300" i="30"/>
  <c r="J300" i="30"/>
  <c r="I300" i="30"/>
  <c r="A287" i="30"/>
  <c r="I287" i="30"/>
  <c r="M287" i="30"/>
  <c r="O287" i="30" s="1"/>
  <c r="K287" i="30"/>
  <c r="J287" i="30"/>
  <c r="A247" i="30"/>
  <c r="I247" i="30"/>
  <c r="M247" i="30"/>
  <c r="O247" i="30" s="1"/>
  <c r="K247" i="30"/>
  <c r="J247" i="30"/>
  <c r="A197" i="30"/>
  <c r="J197" i="30"/>
  <c r="M197" i="30"/>
  <c r="O197" i="30" s="1"/>
  <c r="I197" i="30"/>
  <c r="K197" i="30"/>
  <c r="K158" i="30"/>
  <c r="J158" i="30"/>
  <c r="I158" i="30"/>
  <c r="M158" i="30"/>
  <c r="O158" i="30" s="1"/>
  <c r="A136" i="30"/>
  <c r="K136" i="30"/>
  <c r="J136" i="30"/>
  <c r="I136" i="30"/>
  <c r="M136" i="30"/>
  <c r="O136" i="30" s="1"/>
  <c r="A120" i="30"/>
  <c r="M120" i="30"/>
  <c r="O120" i="30" s="1"/>
  <c r="J120" i="30"/>
  <c r="K120" i="30"/>
  <c r="I120" i="30"/>
  <c r="J109" i="30"/>
  <c r="I109" i="30"/>
  <c r="M109" i="30"/>
  <c r="O109" i="30" s="1"/>
  <c r="K109" i="30"/>
  <c r="J88" i="30"/>
  <c r="I88" i="30"/>
  <c r="M88" i="30"/>
  <c r="O88" i="30" s="1"/>
  <c r="K88" i="30"/>
  <c r="A73" i="30"/>
  <c r="M73" i="30"/>
  <c r="O73" i="30" s="1"/>
  <c r="J73" i="30"/>
  <c r="K73" i="30"/>
  <c r="I73" i="30"/>
  <c r="K41" i="30"/>
  <c r="J41" i="30"/>
  <c r="I41" i="30"/>
  <c r="M41" i="30"/>
  <c r="O41" i="30" s="1"/>
  <c r="J27" i="30"/>
  <c r="I27" i="30"/>
  <c r="M27" i="30"/>
  <c r="O27" i="30" s="1"/>
  <c r="K27" i="30"/>
  <c r="J663" i="30"/>
  <c r="I663" i="30"/>
  <c r="M663" i="30"/>
  <c r="O663" i="30" s="1"/>
  <c r="K663" i="30"/>
  <c r="I576" i="30"/>
  <c r="M576" i="30"/>
  <c r="O576" i="30" s="1"/>
  <c r="J576" i="30"/>
  <c r="K576" i="30"/>
  <c r="P268" i="39"/>
  <c r="M649" i="30"/>
  <c r="O649" i="30" s="1"/>
  <c r="K649" i="30"/>
  <c r="J649" i="30"/>
  <c r="I649" i="30"/>
  <c r="K643" i="30"/>
  <c r="J643" i="30"/>
  <c r="I643" i="30"/>
  <c r="M643" i="30"/>
  <c r="O643" i="30" s="1"/>
  <c r="A639" i="30"/>
  <c r="K639" i="30"/>
  <c r="J639" i="30"/>
  <c r="I639" i="30"/>
  <c r="M639" i="30"/>
  <c r="O639" i="30" s="1"/>
  <c r="I635" i="30"/>
  <c r="M635" i="30"/>
  <c r="O635" i="30" s="1"/>
  <c r="K635" i="30"/>
  <c r="J635" i="30"/>
  <c r="M449" i="30"/>
  <c r="O449" i="30" s="1"/>
  <c r="K449" i="30"/>
  <c r="I449" i="30"/>
  <c r="J449" i="30"/>
  <c r="K444" i="30"/>
  <c r="J444" i="30"/>
  <c r="M444" i="30"/>
  <c r="O444" i="30" s="1"/>
  <c r="I444" i="30"/>
  <c r="A316" i="30"/>
  <c r="I316" i="30"/>
  <c r="M316" i="30"/>
  <c r="O316" i="30" s="1"/>
  <c r="K316" i="30"/>
  <c r="J316" i="30"/>
  <c r="A312" i="30"/>
  <c r="I312" i="30"/>
  <c r="M312" i="30"/>
  <c r="O312" i="30" s="1"/>
  <c r="K312" i="30"/>
  <c r="J312" i="30"/>
  <c r="A308" i="30"/>
  <c r="I308" i="30"/>
  <c r="M308" i="30"/>
  <c r="O308" i="30" s="1"/>
  <c r="K308" i="30"/>
  <c r="J308" i="30"/>
  <c r="A299" i="30"/>
  <c r="I299" i="30"/>
  <c r="M299" i="30"/>
  <c r="O299" i="30" s="1"/>
  <c r="K299" i="30"/>
  <c r="J299" i="30"/>
  <c r="J294" i="30"/>
  <c r="I294" i="30"/>
  <c r="K294" i="30"/>
  <c r="M294" i="30"/>
  <c r="O294" i="30" s="1"/>
  <c r="A285" i="30"/>
  <c r="K285" i="30"/>
  <c r="J285" i="30"/>
  <c r="M285" i="30"/>
  <c r="O285" i="30" s="1"/>
  <c r="I285" i="30"/>
  <c r="M267" i="30"/>
  <c r="O267" i="30" s="1"/>
  <c r="K267" i="30"/>
  <c r="J267" i="30"/>
  <c r="I267" i="30"/>
  <c r="A246" i="30"/>
  <c r="J246" i="30"/>
  <c r="I246" i="30"/>
  <c r="K246" i="30"/>
  <c r="M246" i="30"/>
  <c r="O246" i="30" s="1"/>
  <c r="K241" i="30"/>
  <c r="J241" i="30"/>
  <c r="M241" i="30"/>
  <c r="O241" i="30" s="1"/>
  <c r="I241" i="30"/>
  <c r="A205" i="30"/>
  <c r="I205" i="30"/>
  <c r="M205" i="30"/>
  <c r="O205" i="30" s="1"/>
  <c r="K205" i="30"/>
  <c r="J205" i="30"/>
  <c r="I157" i="30"/>
  <c r="M157" i="30"/>
  <c r="O157" i="30" s="1"/>
  <c r="K157" i="30"/>
  <c r="J157" i="30"/>
  <c r="A149" i="30"/>
  <c r="M149" i="30"/>
  <c r="O149" i="30" s="1"/>
  <c r="J149" i="30"/>
  <c r="K149" i="30"/>
  <c r="I149" i="30"/>
  <c r="M141" i="30"/>
  <c r="O141" i="30" s="1"/>
  <c r="K141" i="30"/>
  <c r="J141" i="30"/>
  <c r="I141" i="30"/>
  <c r="M135" i="30"/>
  <c r="O135" i="30" s="1"/>
  <c r="K135" i="30"/>
  <c r="J135" i="30"/>
  <c r="I135" i="30"/>
  <c r="J123" i="30"/>
  <c r="M123" i="30"/>
  <c r="O123" i="30" s="1"/>
  <c r="I123" i="30"/>
  <c r="K123" i="30"/>
  <c r="J119" i="30"/>
  <c r="I119" i="30"/>
  <c r="M119" i="30"/>
  <c r="O119" i="30" s="1"/>
  <c r="K119" i="30"/>
  <c r="A112" i="30"/>
  <c r="K112" i="30"/>
  <c r="I112" i="30"/>
  <c r="J112" i="30"/>
  <c r="M112" i="30"/>
  <c r="O112" i="30" s="1"/>
  <c r="A108" i="30"/>
  <c r="K108" i="30"/>
  <c r="J108" i="30"/>
  <c r="I108" i="30"/>
  <c r="M108" i="30"/>
  <c r="O108" i="30" s="1"/>
  <c r="K104" i="30"/>
  <c r="J104" i="30"/>
  <c r="I104" i="30"/>
  <c r="M104" i="30"/>
  <c r="O104" i="30" s="1"/>
  <c r="K87" i="30"/>
  <c r="J87" i="30"/>
  <c r="I87" i="30"/>
  <c r="M87" i="30"/>
  <c r="O87" i="30" s="1"/>
  <c r="A78" i="30"/>
  <c r="M78" i="30"/>
  <c r="O78" i="30" s="1"/>
  <c r="K78" i="30"/>
  <c r="J78" i="30"/>
  <c r="I78" i="30"/>
  <c r="I72" i="30"/>
  <c r="M72" i="30"/>
  <c r="O72" i="30" s="1"/>
  <c r="K72" i="30"/>
  <c r="J72" i="30"/>
  <c r="A45" i="30"/>
  <c r="I45" i="30"/>
  <c r="K45" i="30"/>
  <c r="M45" i="30"/>
  <c r="O45" i="30" s="1"/>
  <c r="J45" i="30"/>
  <c r="M40" i="30"/>
  <c r="O40" i="30" s="1"/>
  <c r="K40" i="30"/>
  <c r="J40" i="30"/>
  <c r="I40" i="30"/>
  <c r="A26" i="30"/>
  <c r="K26" i="30"/>
  <c r="J26" i="30"/>
  <c r="I26" i="30"/>
  <c r="M26" i="30"/>
  <c r="O26" i="30" s="1"/>
  <c r="M116" i="30"/>
  <c r="O116" i="30" s="1"/>
  <c r="J116" i="30"/>
  <c r="K116" i="30"/>
  <c r="I116" i="30"/>
  <c r="K297" i="30"/>
  <c r="J297" i="30"/>
  <c r="M297" i="30"/>
  <c r="O297" i="30" s="1"/>
  <c r="I297" i="30"/>
  <c r="N283" i="39"/>
  <c r="N280" i="39"/>
  <c r="N279" i="39"/>
  <c r="N278" i="39"/>
  <c r="N275" i="39"/>
  <c r="N270" i="39"/>
  <c r="N269" i="39"/>
  <c r="N268" i="39"/>
  <c r="N267" i="39"/>
  <c r="N266" i="39"/>
  <c r="N265" i="39"/>
  <c r="N264" i="39"/>
  <c r="N74" i="39"/>
  <c r="N73" i="39"/>
  <c r="N72" i="39"/>
  <c r="N71" i="39"/>
  <c r="N70" i="39"/>
  <c r="N69" i="39"/>
  <c r="N63" i="39"/>
  <c r="N62" i="39"/>
  <c r="N61" i="39"/>
  <c r="N58" i="39"/>
  <c r="N57" i="39"/>
  <c r="N56" i="39"/>
  <c r="N55" i="39"/>
  <c r="N54" i="39"/>
  <c r="N53" i="39"/>
  <c r="N50" i="39"/>
  <c r="N49" i="39"/>
  <c r="N48" i="39"/>
  <c r="N47" i="39"/>
  <c r="M283" i="39"/>
  <c r="M280" i="39"/>
  <c r="M279" i="39"/>
  <c r="M278" i="39"/>
  <c r="M275" i="39"/>
  <c r="M270" i="39"/>
  <c r="M269" i="39"/>
  <c r="M268" i="39"/>
  <c r="M267" i="39"/>
  <c r="M266" i="39"/>
  <c r="M265" i="39"/>
  <c r="M264" i="39"/>
  <c r="M74" i="39"/>
  <c r="M73" i="39"/>
  <c r="M72" i="39"/>
  <c r="M71" i="39"/>
  <c r="M70" i="39"/>
  <c r="M69" i="39"/>
  <c r="M63" i="39"/>
  <c r="M62" i="39"/>
  <c r="M61" i="39"/>
  <c r="M58" i="39"/>
  <c r="M57" i="39"/>
  <c r="M56" i="39"/>
  <c r="M55" i="39"/>
  <c r="M54" i="39"/>
  <c r="M53" i="39"/>
  <c r="M50" i="39"/>
  <c r="M49" i="39"/>
  <c r="M48" i="39"/>
  <c r="M47" i="39"/>
  <c r="L283" i="39"/>
  <c r="L279" i="39"/>
  <c r="L275" i="39"/>
  <c r="L269" i="39"/>
  <c r="L267" i="39"/>
  <c r="L265" i="39"/>
  <c r="L74" i="39"/>
  <c r="L72" i="39"/>
  <c r="L70" i="39"/>
  <c r="L62" i="39"/>
  <c r="L58" i="39"/>
  <c r="L56" i="39"/>
  <c r="L54" i="39"/>
  <c r="L50" i="39"/>
  <c r="L48" i="39"/>
  <c r="L270" i="39"/>
  <c r="L69" i="39"/>
  <c r="L57" i="39"/>
  <c r="L47" i="39"/>
  <c r="L278" i="39"/>
  <c r="L264" i="39"/>
  <c r="L71" i="39"/>
  <c r="L61" i="39"/>
  <c r="L49" i="39"/>
  <c r="L266" i="39"/>
  <c r="L73" i="39"/>
  <c r="L53" i="39"/>
  <c r="L268" i="39"/>
  <c r="L55" i="39"/>
  <c r="L280" i="39"/>
  <c r="L63" i="39"/>
  <c r="J59" i="30"/>
  <c r="I59" i="30"/>
  <c r="M59" i="30"/>
  <c r="O59" i="30" s="1"/>
  <c r="K59" i="30"/>
  <c r="A452" i="30"/>
  <c r="I452" i="30"/>
  <c r="M452" i="30"/>
  <c r="O452" i="30" s="1"/>
  <c r="K452" i="30"/>
  <c r="J452" i="30"/>
  <c r="I441" i="30"/>
  <c r="M441" i="30"/>
  <c r="O441" i="30" s="1"/>
  <c r="K441" i="30"/>
  <c r="J441" i="30"/>
  <c r="I377" i="30"/>
  <c r="M377" i="30"/>
  <c r="O377" i="30" s="1"/>
  <c r="K377" i="30"/>
  <c r="J377" i="30"/>
  <c r="K314" i="30"/>
  <c r="J314" i="30"/>
  <c r="M314" i="30"/>
  <c r="O314" i="30" s="1"/>
  <c r="I314" i="30"/>
  <c r="K301" i="30"/>
  <c r="J301" i="30"/>
  <c r="M301" i="30"/>
  <c r="O301" i="30" s="1"/>
  <c r="I301" i="30"/>
  <c r="A292" i="30"/>
  <c r="M292" i="30"/>
  <c r="O292" i="30" s="1"/>
  <c r="K292" i="30"/>
  <c r="J292" i="30"/>
  <c r="I292" i="30"/>
  <c r="A248" i="30"/>
  <c r="M248" i="30"/>
  <c r="O248" i="30" s="1"/>
  <c r="K248" i="30"/>
  <c r="I248" i="30"/>
  <c r="J248" i="30"/>
  <c r="I219" i="30"/>
  <c r="M219" i="30"/>
  <c r="O219" i="30" s="1"/>
  <c r="K219" i="30"/>
  <c r="J219" i="30"/>
  <c r="A159" i="30"/>
  <c r="I159" i="30"/>
  <c r="K159" i="30"/>
  <c r="M159" i="30"/>
  <c r="O159" i="30" s="1"/>
  <c r="J159" i="30"/>
  <c r="A143" i="30"/>
  <c r="J143" i="30"/>
  <c r="M143" i="30"/>
  <c r="O143" i="30" s="1"/>
  <c r="I143" i="30"/>
  <c r="K143" i="30"/>
  <c r="J137" i="30"/>
  <c r="I137" i="30"/>
  <c r="M137" i="30"/>
  <c r="O137" i="30" s="1"/>
  <c r="K137" i="30"/>
  <c r="J121" i="30"/>
  <c r="M121" i="30"/>
  <c r="O121" i="30" s="1"/>
  <c r="I121" i="30"/>
  <c r="K121" i="30"/>
  <c r="I110" i="30"/>
  <c r="K110" i="30"/>
  <c r="M110" i="30"/>
  <c r="O110" i="30" s="1"/>
  <c r="J110" i="30"/>
  <c r="I102" i="30"/>
  <c r="K102" i="30"/>
  <c r="M102" i="30"/>
  <c r="O102" i="30" s="1"/>
  <c r="J102" i="30"/>
  <c r="A74" i="30"/>
  <c r="K74" i="30"/>
  <c r="I74" i="30"/>
  <c r="J74" i="30"/>
  <c r="M74" i="30"/>
  <c r="O74" i="30" s="1"/>
  <c r="A70" i="30"/>
  <c r="K70" i="30"/>
  <c r="I70" i="30"/>
  <c r="J70" i="30"/>
  <c r="M70" i="30"/>
  <c r="O70" i="30" s="1"/>
  <c r="M25" i="30"/>
  <c r="O25" i="30" s="1"/>
  <c r="K25" i="30"/>
  <c r="J25" i="30"/>
  <c r="I25" i="30"/>
  <c r="I19" i="30"/>
  <c r="M19" i="30"/>
  <c r="O19" i="30" s="1"/>
  <c r="K19" i="30"/>
  <c r="J19" i="30"/>
  <c r="I664" i="30"/>
  <c r="K658" i="30"/>
  <c r="I656" i="30"/>
  <c r="J655" i="30"/>
  <c r="K665" i="30"/>
  <c r="J658" i="30"/>
  <c r="K657" i="30"/>
  <c r="I655" i="30"/>
  <c r="J657" i="30"/>
  <c r="K656" i="30"/>
  <c r="K655" i="30"/>
  <c r="K623" i="30"/>
  <c r="I621" i="30"/>
  <c r="J616" i="30"/>
  <c r="K615" i="30"/>
  <c r="I613" i="30"/>
  <c r="I601" i="30"/>
  <c r="J600" i="30"/>
  <c r="K599" i="30"/>
  <c r="I593" i="30"/>
  <c r="J592" i="30"/>
  <c r="K591" i="30"/>
  <c r="J587" i="30"/>
  <c r="J585" i="30"/>
  <c r="J583" i="30"/>
  <c r="J581" i="30"/>
  <c r="K578" i="30"/>
  <c r="J573" i="30"/>
  <c r="K572" i="30"/>
  <c r="K553" i="30"/>
  <c r="I551" i="30"/>
  <c r="K547" i="30"/>
  <c r="I546" i="30"/>
  <c r="K536" i="30"/>
  <c r="J528" i="30"/>
  <c r="J526" i="30"/>
  <c r="K523" i="30"/>
  <c r="I521" i="30"/>
  <c r="J520" i="30"/>
  <c r="I658" i="30"/>
  <c r="I657" i="30"/>
  <c r="J656" i="30"/>
  <c r="J623" i="30"/>
  <c r="K622" i="30"/>
  <c r="I616" i="30"/>
  <c r="J615" i="30"/>
  <c r="K614" i="30"/>
  <c r="K602" i="30"/>
  <c r="I600" i="30"/>
  <c r="J599" i="30"/>
  <c r="K598" i="30"/>
  <c r="I592" i="30"/>
  <c r="J591" i="30"/>
  <c r="K588" i="30"/>
  <c r="I587" i="30"/>
  <c r="K586" i="30"/>
  <c r="I585" i="30"/>
  <c r="K584" i="30"/>
  <c r="I583" i="30"/>
  <c r="K582" i="30"/>
  <c r="I581" i="30"/>
  <c r="J578" i="30"/>
  <c r="I573" i="30"/>
  <c r="J572" i="30"/>
  <c r="K571" i="30"/>
  <c r="I623" i="30"/>
  <c r="I622" i="30"/>
  <c r="J621" i="30"/>
  <c r="I602" i="30"/>
  <c r="J601" i="30"/>
  <c r="I591" i="30"/>
  <c r="I588" i="30"/>
  <c r="I586" i="30"/>
  <c r="I584" i="30"/>
  <c r="I582" i="30"/>
  <c r="I547" i="30"/>
  <c r="K546" i="30"/>
  <c r="J536" i="30"/>
  <c r="K528" i="30"/>
  <c r="I522" i="30"/>
  <c r="J521" i="30"/>
  <c r="I520" i="30"/>
  <c r="J519" i="30"/>
  <c r="K513" i="30"/>
  <c r="I511" i="30"/>
  <c r="J505" i="30"/>
  <c r="I494" i="30"/>
  <c r="J493" i="30"/>
  <c r="K492" i="30"/>
  <c r="I490" i="30"/>
  <c r="J482" i="30"/>
  <c r="K481" i="30"/>
  <c r="I479" i="30"/>
  <c r="J476" i="30"/>
  <c r="K475" i="30"/>
  <c r="I473" i="30"/>
  <c r="J472" i="30"/>
  <c r="K471" i="30"/>
  <c r="I461" i="30"/>
  <c r="J460" i="30"/>
  <c r="K459" i="30"/>
  <c r="K435" i="30"/>
  <c r="I431" i="30"/>
  <c r="J430" i="30"/>
  <c r="K429" i="30"/>
  <c r="I425" i="30"/>
  <c r="J424" i="30"/>
  <c r="K423" i="30"/>
  <c r="I419" i="30"/>
  <c r="J418" i="30"/>
  <c r="K412" i="30"/>
  <c r="I410" i="30"/>
  <c r="J407" i="30"/>
  <c r="K406" i="30"/>
  <c r="I402" i="30"/>
  <c r="J401" i="30"/>
  <c r="K400" i="30"/>
  <c r="I398" i="30"/>
  <c r="J392" i="30"/>
  <c r="K391" i="30"/>
  <c r="I389" i="30"/>
  <c r="J388" i="30"/>
  <c r="K387" i="30"/>
  <c r="I369" i="30"/>
  <c r="J366" i="30"/>
  <c r="K365" i="30"/>
  <c r="J362" i="30"/>
  <c r="K352" i="30"/>
  <c r="I350" i="30"/>
  <c r="J349" i="30"/>
  <c r="K348" i="30"/>
  <c r="I346" i="30"/>
  <c r="J614" i="30"/>
  <c r="K613" i="30"/>
  <c r="J598" i="30"/>
  <c r="K593" i="30"/>
  <c r="K592" i="30"/>
  <c r="J571" i="30"/>
  <c r="J553" i="30"/>
  <c r="K552" i="30"/>
  <c r="J546" i="30"/>
  <c r="I536" i="30"/>
  <c r="I528" i="30"/>
  <c r="K527" i="30"/>
  <c r="I519" i="30"/>
  <c r="J513" i="30"/>
  <c r="K512" i="30"/>
  <c r="I505" i="30"/>
  <c r="K497" i="30"/>
  <c r="I493" i="30"/>
  <c r="J492" i="30"/>
  <c r="K491" i="30"/>
  <c r="I482" i="30"/>
  <c r="J481" i="30"/>
  <c r="K480" i="30"/>
  <c r="I476" i="30"/>
  <c r="J475" i="30"/>
  <c r="K474" i="30"/>
  <c r="I472" i="30"/>
  <c r="J471" i="30"/>
  <c r="K462" i="30"/>
  <c r="I460" i="30"/>
  <c r="J459" i="30"/>
  <c r="J435" i="30"/>
  <c r="K434" i="30"/>
  <c r="I430" i="30"/>
  <c r="J429" i="30"/>
  <c r="K426" i="30"/>
  <c r="I424" i="30"/>
  <c r="J423" i="30"/>
  <c r="K422" i="30"/>
  <c r="I418" i="30"/>
  <c r="J412" i="30"/>
  <c r="K411" i="30"/>
  <c r="I407" i="30"/>
  <c r="J406" i="30"/>
  <c r="K405" i="30"/>
  <c r="I401" i="30"/>
  <c r="J400" i="30"/>
  <c r="K399" i="30"/>
  <c r="I392" i="30"/>
  <c r="J391" i="30"/>
  <c r="K390" i="30"/>
  <c r="I388" i="30"/>
  <c r="J387" i="30"/>
  <c r="K370" i="30"/>
  <c r="I366" i="30"/>
  <c r="J365" i="30"/>
  <c r="K364" i="30"/>
  <c r="I362" i="30"/>
  <c r="J352" i="30"/>
  <c r="K351" i="30"/>
  <c r="I349" i="30"/>
  <c r="J348" i="30"/>
  <c r="K347" i="30"/>
  <c r="J665" i="30"/>
  <c r="K664" i="30"/>
  <c r="J622" i="30"/>
  <c r="I614" i="30"/>
  <c r="K601" i="30"/>
  <c r="J593" i="30"/>
  <c r="K585" i="30"/>
  <c r="K581" i="30"/>
  <c r="I572" i="30"/>
  <c r="J527" i="30"/>
  <c r="K526" i="30"/>
  <c r="J523" i="30"/>
  <c r="K522" i="30"/>
  <c r="K521" i="30"/>
  <c r="J512" i="30"/>
  <c r="K511" i="30"/>
  <c r="K505" i="30"/>
  <c r="J497" i="30"/>
  <c r="K494" i="30"/>
  <c r="K493" i="30"/>
  <c r="J480" i="30"/>
  <c r="K479" i="30"/>
  <c r="K476" i="30"/>
  <c r="J462" i="30"/>
  <c r="K461" i="30"/>
  <c r="K460" i="30"/>
  <c r="I435" i="30"/>
  <c r="I434" i="30"/>
  <c r="J431" i="30"/>
  <c r="I423" i="30"/>
  <c r="I422" i="30"/>
  <c r="J419" i="30"/>
  <c r="I406" i="30"/>
  <c r="I405" i="30"/>
  <c r="J402" i="30"/>
  <c r="I391" i="30"/>
  <c r="I390" i="30"/>
  <c r="J389" i="30"/>
  <c r="J370" i="30"/>
  <c r="K369" i="30"/>
  <c r="K366" i="30"/>
  <c r="I352" i="30"/>
  <c r="I351" i="30"/>
  <c r="J350" i="30"/>
  <c r="I283" i="30"/>
  <c r="K274" i="30"/>
  <c r="I272" i="30"/>
  <c r="J271" i="30"/>
  <c r="I261" i="30"/>
  <c r="J260" i="30"/>
  <c r="K255" i="30"/>
  <c r="I253" i="30"/>
  <c r="K249" i="30"/>
  <c r="I237" i="30"/>
  <c r="I665" i="30"/>
  <c r="J664" i="30"/>
  <c r="I615" i="30"/>
  <c r="J602" i="30"/>
  <c r="I598" i="30"/>
  <c r="J586" i="30"/>
  <c r="J582" i="30"/>
  <c r="K573" i="30"/>
  <c r="I527" i="30"/>
  <c r="I526" i="30"/>
  <c r="I523" i="30"/>
  <c r="J522" i="30"/>
  <c r="I513" i="30"/>
  <c r="I512" i="30"/>
  <c r="J511" i="30"/>
  <c r="I497" i="30"/>
  <c r="J494" i="30"/>
  <c r="I481" i="30"/>
  <c r="I480" i="30"/>
  <c r="J479" i="30"/>
  <c r="I471" i="30"/>
  <c r="I462" i="30"/>
  <c r="J461" i="30"/>
  <c r="J426" i="30"/>
  <c r="K425" i="30"/>
  <c r="K424" i="30"/>
  <c r="J411" i="30"/>
  <c r="K410" i="30"/>
  <c r="K407" i="30"/>
  <c r="J399" i="30"/>
  <c r="K398" i="30"/>
  <c r="K392" i="30"/>
  <c r="I370" i="30"/>
  <c r="J369" i="30"/>
  <c r="K362" i="30"/>
  <c r="J347" i="30"/>
  <c r="K346" i="30"/>
  <c r="J274" i="30"/>
  <c r="K273" i="30"/>
  <c r="I271" i="30"/>
  <c r="I260" i="30"/>
  <c r="J255" i="30"/>
  <c r="K254" i="30"/>
  <c r="J249" i="30"/>
  <c r="K240" i="30"/>
  <c r="K587" i="30"/>
  <c r="K520" i="30"/>
  <c r="I492" i="30"/>
  <c r="I491" i="30"/>
  <c r="J490" i="30"/>
  <c r="I459" i="30"/>
  <c r="I429" i="30"/>
  <c r="K419" i="30"/>
  <c r="J410" i="30"/>
  <c r="I400" i="30"/>
  <c r="K389" i="30"/>
  <c r="J351" i="30"/>
  <c r="I347" i="30"/>
  <c r="I274" i="30"/>
  <c r="I273" i="30"/>
  <c r="J272" i="30"/>
  <c r="K261" i="30"/>
  <c r="K260" i="30"/>
  <c r="J240" i="30"/>
  <c r="K237" i="30"/>
  <c r="J187" i="30"/>
  <c r="K186" i="30"/>
  <c r="I184" i="30"/>
  <c r="J183" i="30"/>
  <c r="K182" i="30"/>
  <c r="I180" i="30"/>
  <c r="J174" i="30"/>
  <c r="K173" i="30"/>
  <c r="I171" i="30"/>
  <c r="J170" i="30"/>
  <c r="K169" i="30"/>
  <c r="I167" i="30"/>
  <c r="J166" i="30"/>
  <c r="K165" i="30"/>
  <c r="I85" i="30"/>
  <c r="I60" i="30"/>
  <c r="I54" i="30"/>
  <c r="K616" i="30"/>
  <c r="I599" i="30"/>
  <c r="K583" i="30"/>
  <c r="I553" i="30"/>
  <c r="I552" i="30"/>
  <c r="J551" i="30"/>
  <c r="I475" i="30"/>
  <c r="I474" i="30"/>
  <c r="K431" i="30"/>
  <c r="I412" i="30"/>
  <c r="J398" i="30"/>
  <c r="J364" i="30"/>
  <c r="K349" i="30"/>
  <c r="J283" i="30"/>
  <c r="J254" i="30"/>
  <c r="K253" i="30"/>
  <c r="I186" i="30"/>
  <c r="J185" i="30"/>
  <c r="K184" i="30"/>
  <c r="I182" i="30"/>
  <c r="J181" i="30"/>
  <c r="K180" i="30"/>
  <c r="I173" i="30"/>
  <c r="J172" i="30"/>
  <c r="K171" i="30"/>
  <c r="K167" i="30"/>
  <c r="I165" i="30"/>
  <c r="K85" i="30"/>
  <c r="J61" i="30"/>
  <c r="K60" i="30"/>
  <c r="J55" i="30"/>
  <c r="K600" i="30"/>
  <c r="J584" i="30"/>
  <c r="K519" i="30"/>
  <c r="J434" i="30"/>
  <c r="K418" i="30"/>
  <c r="I399" i="30"/>
  <c r="J613" i="30"/>
  <c r="J588" i="30"/>
  <c r="I578" i="30"/>
  <c r="J552" i="30"/>
  <c r="K551" i="30"/>
  <c r="J547" i="30"/>
  <c r="J474" i="30"/>
  <c r="K473" i="30"/>
  <c r="K472" i="30"/>
  <c r="K430" i="30"/>
  <c r="J422" i="30"/>
  <c r="I411" i="30"/>
  <c r="K401" i="30"/>
  <c r="J390" i="30"/>
  <c r="I348" i="30"/>
  <c r="K283" i="30"/>
  <c r="J261" i="30"/>
  <c r="I249" i="30"/>
  <c r="I240" i="30"/>
  <c r="J237" i="30"/>
  <c r="I187" i="30"/>
  <c r="J186" i="30"/>
  <c r="K185" i="30"/>
  <c r="I183" i="30"/>
  <c r="J182" i="30"/>
  <c r="K181" i="30"/>
  <c r="I174" i="30"/>
  <c r="J173" i="30"/>
  <c r="K172" i="30"/>
  <c r="I170" i="30"/>
  <c r="J169" i="30"/>
  <c r="K168" i="30"/>
  <c r="I166" i="30"/>
  <c r="J165" i="30"/>
  <c r="K61" i="30"/>
  <c r="K55" i="30"/>
  <c r="J473" i="30"/>
  <c r="J425" i="30"/>
  <c r="K402" i="30"/>
  <c r="I387" i="30"/>
  <c r="I169" i="30"/>
  <c r="J168" i="30"/>
  <c r="K54" i="30"/>
  <c r="K621" i="30"/>
  <c r="I571" i="30"/>
  <c r="J491" i="30"/>
  <c r="K490" i="30"/>
  <c r="K482" i="30"/>
  <c r="I426" i="30"/>
  <c r="J405" i="30"/>
  <c r="K388" i="30"/>
  <c r="I364" i="30"/>
  <c r="K271" i="30"/>
  <c r="I254" i="30"/>
  <c r="I185" i="30"/>
  <c r="K170" i="30"/>
  <c r="J167" i="30"/>
  <c r="J60" i="30"/>
  <c r="K350" i="30"/>
  <c r="J273" i="30"/>
  <c r="K183" i="30"/>
  <c r="J180" i="30"/>
  <c r="I172" i="30"/>
  <c r="J85" i="30"/>
  <c r="J54" i="30"/>
  <c r="J253" i="30"/>
  <c r="K187" i="30"/>
  <c r="I181" i="30"/>
  <c r="K166" i="30"/>
  <c r="I365" i="30"/>
  <c r="K272" i="30"/>
  <c r="I255" i="30"/>
  <c r="K174" i="30"/>
  <c r="J171" i="30"/>
  <c r="I168" i="30"/>
  <c r="I61" i="30"/>
  <c r="J346" i="30"/>
  <c r="J184" i="30"/>
  <c r="I55" i="30"/>
  <c r="J647" i="30"/>
  <c r="I647" i="30"/>
  <c r="K647" i="30"/>
  <c r="J558" i="30"/>
  <c r="J562" i="30"/>
  <c r="K561" i="30"/>
  <c r="I559" i="30"/>
  <c r="J537" i="30"/>
  <c r="J535" i="30"/>
  <c r="K537" i="30"/>
  <c r="K560" i="30"/>
  <c r="J559" i="30"/>
  <c r="I560" i="30"/>
  <c r="K558" i="30"/>
  <c r="K562" i="30"/>
  <c r="I535" i="30"/>
  <c r="J561" i="30"/>
  <c r="K559" i="30"/>
  <c r="I537" i="30"/>
  <c r="J560" i="30"/>
  <c r="I558" i="30"/>
  <c r="I562" i="30"/>
  <c r="K535" i="30"/>
  <c r="I561" i="30"/>
  <c r="K650" i="30"/>
  <c r="J650" i="30"/>
  <c r="I650" i="30"/>
  <c r="M650" i="30"/>
  <c r="O650" i="30" s="1"/>
  <c r="J640" i="30"/>
  <c r="I640" i="30"/>
  <c r="K640" i="30"/>
  <c r="M640" i="30"/>
  <c r="O640" i="30" s="1"/>
  <c r="J446" i="30"/>
  <c r="I446" i="30"/>
  <c r="M446" i="30"/>
  <c r="O446" i="30" s="1"/>
  <c r="K446" i="30"/>
  <c r="K376" i="30"/>
  <c r="J376" i="30"/>
  <c r="M376" i="30"/>
  <c r="O376" i="30" s="1"/>
  <c r="I376" i="30"/>
  <c r="M313" i="30"/>
  <c r="O313" i="30" s="1"/>
  <c r="K313" i="30"/>
  <c r="J313" i="30"/>
  <c r="I313" i="30"/>
  <c r="I295" i="30"/>
  <c r="M295" i="30"/>
  <c r="O295" i="30" s="1"/>
  <c r="K295" i="30"/>
  <c r="J295" i="30"/>
  <c r="K268" i="30"/>
  <c r="J268" i="30"/>
  <c r="M268" i="30"/>
  <c r="O268" i="30" s="1"/>
  <c r="I268" i="30"/>
  <c r="A242" i="30"/>
  <c r="J242" i="30"/>
  <c r="I242" i="30"/>
  <c r="M242" i="30"/>
  <c r="O242" i="30" s="1"/>
  <c r="K242" i="30"/>
  <c r="A218" i="30"/>
  <c r="J218" i="30"/>
  <c r="I218" i="30"/>
  <c r="K218" i="30"/>
  <c r="M218" i="30"/>
  <c r="O218" i="30" s="1"/>
  <c r="K150" i="30"/>
  <c r="I150" i="30"/>
  <c r="J150" i="30"/>
  <c r="M150" i="30"/>
  <c r="O150" i="30" s="1"/>
  <c r="A142" i="30"/>
  <c r="K142" i="30"/>
  <c r="J142" i="30"/>
  <c r="I142" i="30"/>
  <c r="M142" i="30"/>
  <c r="O142" i="30" s="1"/>
  <c r="M124" i="30"/>
  <c r="O124" i="30" s="1"/>
  <c r="J124" i="30"/>
  <c r="K124" i="30"/>
  <c r="I124" i="30"/>
  <c r="J115" i="30"/>
  <c r="M115" i="30"/>
  <c r="O115" i="30" s="1"/>
  <c r="I115" i="30"/>
  <c r="K115" i="30"/>
  <c r="J105" i="30"/>
  <c r="I105" i="30"/>
  <c r="M105" i="30"/>
  <c r="O105" i="30" s="1"/>
  <c r="K105" i="30"/>
  <c r="A79" i="30"/>
  <c r="K79" i="30"/>
  <c r="J79" i="30"/>
  <c r="I79" i="30"/>
  <c r="M79" i="30"/>
  <c r="O79" i="30" s="1"/>
  <c r="M46" i="30"/>
  <c r="O46" i="30" s="1"/>
  <c r="J46" i="30"/>
  <c r="K46" i="30"/>
  <c r="I46" i="30"/>
  <c r="J18" i="30"/>
  <c r="M18" i="30"/>
  <c r="O18" i="30" s="1"/>
  <c r="I18" i="30"/>
  <c r="K18" i="30"/>
  <c r="J286" i="30"/>
  <c r="I286" i="30"/>
  <c r="K286" i="30"/>
  <c r="M286" i="30"/>
  <c r="O286" i="30" s="1"/>
  <c r="I363" i="30"/>
  <c r="M363" i="30"/>
  <c r="O363" i="30" s="1"/>
  <c r="K363" i="30"/>
  <c r="J363" i="30"/>
  <c r="A648" i="30"/>
  <c r="I648" i="30"/>
  <c r="M648" i="30"/>
  <c r="O648" i="30" s="1"/>
  <c r="K648" i="30"/>
  <c r="J648" i="30"/>
  <c r="M642" i="30"/>
  <c r="O642" i="30" s="1"/>
  <c r="K642" i="30"/>
  <c r="J642" i="30"/>
  <c r="I642" i="30"/>
  <c r="M638" i="30"/>
  <c r="O638" i="30" s="1"/>
  <c r="K638" i="30"/>
  <c r="J638" i="30"/>
  <c r="I638" i="30"/>
  <c r="A634" i="30"/>
  <c r="J634" i="30"/>
  <c r="K634" i="30"/>
  <c r="I634" i="30"/>
  <c r="M634" i="30"/>
  <c r="O634" i="30" s="1"/>
  <c r="M453" i="30"/>
  <c r="O453" i="30" s="1"/>
  <c r="K453" i="30"/>
  <c r="J453" i="30"/>
  <c r="I453" i="30"/>
  <c r="J448" i="30"/>
  <c r="I448" i="30"/>
  <c r="K448" i="30"/>
  <c r="M448" i="30"/>
  <c r="O448" i="30" s="1"/>
  <c r="M443" i="30"/>
  <c r="O443" i="30" s="1"/>
  <c r="K443" i="30"/>
  <c r="I443" i="30"/>
  <c r="J443" i="30"/>
  <c r="J319" i="30"/>
  <c r="I319" i="30"/>
  <c r="K319" i="30"/>
  <c r="M319" i="30"/>
  <c r="O319" i="30" s="1"/>
  <c r="J315" i="30"/>
  <c r="I315" i="30"/>
  <c r="K315" i="30"/>
  <c r="M315" i="30"/>
  <c r="O315" i="30" s="1"/>
  <c r="A311" i="30"/>
  <c r="J311" i="30"/>
  <c r="I311" i="30"/>
  <c r="K311" i="30"/>
  <c r="M311" i="30"/>
  <c r="O311" i="30" s="1"/>
  <c r="J302" i="30"/>
  <c r="I302" i="30"/>
  <c r="K302" i="30"/>
  <c r="M302" i="30"/>
  <c r="O302" i="30" s="1"/>
  <c r="A298" i="30"/>
  <c r="J298" i="30"/>
  <c r="I298" i="30"/>
  <c r="K298" i="30"/>
  <c r="M298" i="30"/>
  <c r="O298" i="30" s="1"/>
  <c r="K293" i="30"/>
  <c r="J293" i="30"/>
  <c r="M293" i="30"/>
  <c r="O293" i="30" s="1"/>
  <c r="I293" i="30"/>
  <c r="M284" i="30"/>
  <c r="O284" i="30" s="1"/>
  <c r="K284" i="30"/>
  <c r="J284" i="30"/>
  <c r="I284" i="30"/>
  <c r="J250" i="30"/>
  <c r="I250" i="30"/>
  <c r="K250" i="30"/>
  <c r="M250" i="30"/>
  <c r="O250" i="30" s="1"/>
  <c r="A244" i="30"/>
  <c r="M244" i="30"/>
  <c r="O244" i="30" s="1"/>
  <c r="K244" i="30"/>
  <c r="I244" i="30"/>
  <c r="J244" i="30"/>
  <c r="A220" i="30"/>
  <c r="M220" i="30"/>
  <c r="O220" i="30" s="1"/>
  <c r="K220" i="30"/>
  <c r="I220" i="30"/>
  <c r="J220" i="30"/>
  <c r="J204" i="30"/>
  <c r="K204" i="30"/>
  <c r="I204" i="30"/>
  <c r="M204" i="30"/>
  <c r="O204" i="30" s="1"/>
  <c r="I144" i="30"/>
  <c r="M144" i="30"/>
  <c r="O144" i="30" s="1"/>
  <c r="K144" i="30"/>
  <c r="J144" i="30"/>
  <c r="I140" i="30"/>
  <c r="K140" i="30"/>
  <c r="M140" i="30"/>
  <c r="O140" i="30" s="1"/>
  <c r="J140" i="30"/>
  <c r="I134" i="30"/>
  <c r="M134" i="30"/>
  <c r="O134" i="30" s="1"/>
  <c r="K134" i="30"/>
  <c r="J134" i="30"/>
  <c r="M122" i="30"/>
  <c r="O122" i="30" s="1"/>
  <c r="J122" i="30"/>
  <c r="K122" i="30"/>
  <c r="I122" i="30"/>
  <c r="M118" i="30"/>
  <c r="O118" i="30" s="1"/>
  <c r="K118" i="30"/>
  <c r="J118" i="30"/>
  <c r="I118" i="30"/>
  <c r="M111" i="30"/>
  <c r="O111" i="30" s="1"/>
  <c r="J111" i="30"/>
  <c r="K111" i="30"/>
  <c r="I111" i="30"/>
  <c r="M107" i="30"/>
  <c r="O107" i="30" s="1"/>
  <c r="K107" i="30"/>
  <c r="J107" i="30"/>
  <c r="I107" i="30"/>
  <c r="M103" i="30"/>
  <c r="O103" i="30" s="1"/>
  <c r="K103" i="30"/>
  <c r="J103" i="30"/>
  <c r="I103" i="30"/>
  <c r="M86" i="30"/>
  <c r="O86" i="30" s="1"/>
  <c r="K86" i="30"/>
  <c r="J86" i="30"/>
  <c r="I86" i="30"/>
  <c r="A75" i="30"/>
  <c r="J75" i="30"/>
  <c r="M75" i="30"/>
  <c r="O75" i="30" s="1"/>
  <c r="I75" i="30"/>
  <c r="K75" i="30"/>
  <c r="J71" i="30"/>
  <c r="M71" i="30"/>
  <c r="O71" i="30" s="1"/>
  <c r="I71" i="30"/>
  <c r="K71" i="30"/>
  <c r="J44" i="30"/>
  <c r="I44" i="30"/>
  <c r="M44" i="30"/>
  <c r="O44" i="30" s="1"/>
  <c r="K44" i="30"/>
  <c r="I39" i="30"/>
  <c r="K39" i="30"/>
  <c r="M39" i="30"/>
  <c r="O39" i="30" s="1"/>
  <c r="J39" i="30"/>
  <c r="K20" i="30"/>
  <c r="J20" i="30"/>
  <c r="I20" i="30"/>
  <c r="M20" i="30"/>
  <c r="O20" i="30" s="1"/>
  <c r="A245" i="30"/>
  <c r="K245" i="30"/>
  <c r="J245" i="30"/>
  <c r="M245" i="30"/>
  <c r="O245" i="30" s="1"/>
  <c r="I245" i="30"/>
  <c r="B184" i="41"/>
  <c r="B186" i="41" s="1"/>
  <c r="J53" i="30"/>
  <c r="M53" i="30"/>
  <c r="O53" i="30" s="1"/>
  <c r="I53" i="30"/>
  <c r="K53" i="30"/>
  <c r="M577" i="30"/>
  <c r="O577" i="30" s="1"/>
  <c r="K577" i="30"/>
  <c r="J577" i="30"/>
  <c r="I577" i="30"/>
  <c r="K666" i="30"/>
  <c r="J666" i="30"/>
  <c r="M666" i="30"/>
  <c r="O666" i="30" s="1"/>
  <c r="I666" i="30"/>
  <c r="X75" i="36"/>
  <c r="X245" i="36"/>
  <c r="X244" i="36"/>
  <c r="X243" i="36"/>
  <c r="X35" i="36"/>
  <c r="X34" i="36"/>
  <c r="X170" i="36"/>
  <c r="X168" i="36"/>
  <c r="X164" i="36"/>
  <c r="X68" i="36"/>
  <c r="X28" i="36"/>
  <c r="X220" i="36"/>
  <c r="X167" i="36"/>
  <c r="X217" i="36"/>
  <c r="X221" i="36"/>
  <c r="X166" i="36"/>
  <c r="X218" i="36"/>
  <c r="X222" i="36"/>
  <c r="X169" i="36"/>
  <c r="X165" i="36"/>
  <c r="X219" i="36"/>
  <c r="X216" i="36"/>
  <c r="X69" i="36"/>
  <c r="X70" i="36"/>
  <c r="X29" i="36"/>
  <c r="X30" i="36"/>
  <c r="X71" i="36"/>
  <c r="X72" i="36"/>
  <c r="X31" i="36"/>
  <c r="X73" i="36"/>
  <c r="X32" i="36"/>
  <c r="X74" i="36"/>
  <c r="X33" i="36"/>
  <c r="X76" i="36"/>
  <c r="L75" i="36"/>
  <c r="K75" i="36"/>
  <c r="M75" i="36"/>
  <c r="P75" i="36"/>
  <c r="L74" i="36"/>
  <c r="L33" i="36"/>
  <c r="L244" i="36"/>
  <c r="K243" i="36"/>
  <c r="M184" i="36"/>
  <c r="K183" i="36"/>
  <c r="M182" i="36"/>
  <c r="M191" i="36" s="1"/>
  <c r="K179" i="36"/>
  <c r="M178" i="36"/>
  <c r="L177" i="36"/>
  <c r="L190" i="36" s="1"/>
  <c r="M176" i="36"/>
  <c r="L174" i="36"/>
  <c r="M245" i="36"/>
  <c r="L245" i="36"/>
  <c r="M243" i="36"/>
  <c r="K245" i="36"/>
  <c r="M244" i="36"/>
  <c r="L243" i="36"/>
  <c r="L183" i="36"/>
  <c r="K181" i="36"/>
  <c r="L179" i="36"/>
  <c r="M177" i="36"/>
  <c r="M190" i="36" s="1"/>
  <c r="K175" i="36"/>
  <c r="M174" i="36"/>
  <c r="K184" i="36"/>
  <c r="K244" i="36"/>
  <c r="M183" i="36"/>
  <c r="K182" i="36"/>
  <c r="K191" i="36" s="1"/>
  <c r="L181" i="36"/>
  <c r="K178" i="36"/>
  <c r="K177" i="36"/>
  <c r="K190" i="36" s="1"/>
  <c r="K176" i="36"/>
  <c r="L175" i="36"/>
  <c r="L22" i="36"/>
  <c r="K21" i="36"/>
  <c r="L20" i="36"/>
  <c r="M19" i="36"/>
  <c r="L184" i="36"/>
  <c r="M23" i="36"/>
  <c r="K22" i="36"/>
  <c r="K20" i="36"/>
  <c r="L19" i="36"/>
  <c r="M18" i="36"/>
  <c r="K174" i="36"/>
  <c r="M175" i="36"/>
  <c r="K23" i="36"/>
  <c r="L21" i="36"/>
  <c r="L182" i="36"/>
  <c r="L191" i="36" s="1"/>
  <c r="L176" i="36"/>
  <c r="L18" i="36"/>
  <c r="K19" i="36"/>
  <c r="K18" i="36"/>
  <c r="M179" i="36"/>
  <c r="L178" i="36"/>
  <c r="L23" i="36"/>
  <c r="M22" i="36"/>
  <c r="M21" i="36"/>
  <c r="M20" i="36"/>
  <c r="M181" i="36"/>
  <c r="M164" i="36"/>
  <c r="L164" i="36"/>
  <c r="K164" i="36"/>
  <c r="K28" i="36"/>
  <c r="L68" i="36"/>
  <c r="M28" i="36"/>
  <c r="K68" i="36"/>
  <c r="L28" i="36"/>
  <c r="M68" i="36"/>
  <c r="L218" i="36"/>
  <c r="L168" i="36"/>
  <c r="L221" i="36"/>
  <c r="M167" i="36"/>
  <c r="L165" i="36"/>
  <c r="M170" i="36"/>
  <c r="K220" i="36"/>
  <c r="K167" i="36"/>
  <c r="M166" i="36"/>
  <c r="M189" i="36" s="1"/>
  <c r="L220" i="36"/>
  <c r="M169" i="36"/>
  <c r="K218" i="36"/>
  <c r="M219" i="36"/>
  <c r="K221" i="36"/>
  <c r="K216" i="36"/>
  <c r="L166" i="36"/>
  <c r="L217" i="36"/>
  <c r="M222" i="36"/>
  <c r="K169" i="36"/>
  <c r="M218" i="36"/>
  <c r="M168" i="36"/>
  <c r="K219" i="36"/>
  <c r="M221" i="36"/>
  <c r="L167" i="36"/>
  <c r="L216" i="36"/>
  <c r="M165" i="36"/>
  <c r="L170" i="36"/>
  <c r="K166" i="36"/>
  <c r="K189" i="36" s="1"/>
  <c r="K217" i="36"/>
  <c r="M220" i="36"/>
  <c r="K222" i="36"/>
  <c r="L169" i="36"/>
  <c r="L219" i="36"/>
  <c r="M216" i="36"/>
  <c r="K170" i="36"/>
  <c r="M217" i="36"/>
  <c r="L222" i="36"/>
  <c r="K168" i="36"/>
  <c r="K165" i="36"/>
  <c r="M69" i="36"/>
  <c r="L69" i="36"/>
  <c r="K69" i="36"/>
  <c r="K29" i="36"/>
  <c r="M29" i="36"/>
  <c r="L29" i="36"/>
  <c r="L70" i="36"/>
  <c r="M70" i="36"/>
  <c r="K70" i="36"/>
  <c r="L71" i="36"/>
  <c r="L30" i="36"/>
  <c r="M71" i="36"/>
  <c r="K30" i="36"/>
  <c r="M30" i="36"/>
  <c r="K71" i="36"/>
  <c r="L31" i="36"/>
  <c r="M72" i="36"/>
  <c r="K72" i="36"/>
  <c r="M31" i="36"/>
  <c r="L72" i="36"/>
  <c r="K31" i="36"/>
  <c r="M32" i="36"/>
  <c r="K73" i="36"/>
  <c r="L32" i="36"/>
  <c r="M73" i="36"/>
  <c r="K32" i="36"/>
  <c r="L73" i="36"/>
  <c r="M74" i="36"/>
  <c r="K33" i="36"/>
  <c r="M33" i="36"/>
  <c r="L34" i="36"/>
  <c r="P34" i="36"/>
  <c r="K34" i="36"/>
  <c r="M34" i="36"/>
  <c r="H247" i="36"/>
  <c r="D247" i="36" s="1"/>
  <c r="AC12" i="28"/>
  <c r="C296" i="39"/>
  <c r="W13" i="28"/>
  <c r="W116" i="28"/>
  <c r="W114" i="28"/>
  <c r="W112" i="28"/>
  <c r="W110" i="28"/>
  <c r="W108" i="28"/>
  <c r="W106" i="28"/>
  <c r="W104" i="28"/>
  <c r="W102" i="28"/>
  <c r="W100" i="28"/>
  <c r="W98" i="28"/>
  <c r="W96" i="28"/>
  <c r="W94" i="28"/>
  <c r="W92" i="28"/>
  <c r="W90" i="28"/>
  <c r="W88" i="28"/>
  <c r="W86" i="28"/>
  <c r="W84" i="28"/>
  <c r="W82" i="28"/>
  <c r="W75" i="28"/>
  <c r="W73" i="28"/>
  <c r="W71" i="28"/>
  <c r="W69" i="28"/>
  <c r="W67" i="28"/>
  <c r="W65" i="28"/>
  <c r="W63" i="28"/>
  <c r="W61" i="28"/>
  <c r="W59" i="28"/>
  <c r="W57" i="28"/>
  <c r="W55" i="28"/>
  <c r="W53" i="28"/>
  <c r="W51" i="28"/>
  <c r="W49" i="28"/>
  <c r="W47" i="28"/>
  <c r="W45" i="28"/>
  <c r="W43" i="28"/>
  <c r="W41" i="28"/>
  <c r="W39" i="28"/>
  <c r="W11" i="28"/>
  <c r="W115" i="28"/>
  <c r="W113" i="28"/>
  <c r="W111" i="28"/>
  <c r="W109" i="28"/>
  <c r="W107" i="28"/>
  <c r="W105" i="28"/>
  <c r="W103" i="28"/>
  <c r="W101" i="28"/>
  <c r="W99" i="28"/>
  <c r="W97" i="28"/>
  <c r="W95" i="28"/>
  <c r="W93" i="28"/>
  <c r="W91" i="28"/>
  <c r="W89" i="28"/>
  <c r="W87" i="28"/>
  <c r="W85" i="28"/>
  <c r="W83" i="28"/>
  <c r="W81" i="28"/>
  <c r="W74" i="28"/>
  <c r="W72" i="28"/>
  <c r="W70" i="28"/>
  <c r="W68" i="28"/>
  <c r="W66" i="28"/>
  <c r="W64" i="28"/>
  <c r="W62" i="28"/>
  <c r="W60" i="28"/>
  <c r="W58" i="28"/>
  <c r="W56" i="28"/>
  <c r="W54" i="28"/>
  <c r="W52" i="28"/>
  <c r="W50" i="28"/>
  <c r="W48" i="28"/>
  <c r="W46" i="28"/>
  <c r="W44" i="28"/>
  <c r="W42" i="28"/>
  <c r="W40" i="28"/>
  <c r="W38" i="28"/>
  <c r="W12" i="28"/>
  <c r="W15" i="28"/>
  <c r="W19" i="28"/>
  <c r="W23" i="28"/>
  <c r="W27" i="28"/>
  <c r="W31" i="28"/>
  <c r="W16" i="28"/>
  <c r="W20" i="28"/>
  <c r="W24" i="28"/>
  <c r="W28" i="28"/>
  <c r="W32" i="28"/>
  <c r="W17" i="28"/>
  <c r="W21" i="28"/>
  <c r="W25" i="28"/>
  <c r="W29" i="28"/>
  <c r="W14" i="28"/>
  <c r="W18" i="28"/>
  <c r="W22" i="28"/>
  <c r="W26" i="28"/>
  <c r="W30" i="28"/>
  <c r="D221" i="36"/>
  <c r="E221" i="36" s="1"/>
  <c r="D217" i="36"/>
  <c r="E217" i="36" s="1"/>
  <c r="D189" i="36"/>
  <c r="D167" i="36"/>
  <c r="E167" i="36" s="1"/>
  <c r="D142" i="36"/>
  <c r="D138" i="36"/>
  <c r="D134" i="36"/>
  <c r="D130" i="36"/>
  <c r="D126" i="36"/>
  <c r="D122" i="36"/>
  <c r="D118" i="36"/>
  <c r="D76" i="36"/>
  <c r="E76" i="36" s="1"/>
  <c r="D72" i="36"/>
  <c r="E72" i="36" s="1"/>
  <c r="D68" i="36"/>
  <c r="E68" i="36" s="1"/>
  <c r="D32" i="36"/>
  <c r="E32" i="36" s="1"/>
  <c r="D28" i="36"/>
  <c r="E28" i="36" s="1"/>
  <c r="D60" i="28"/>
  <c r="D56" i="28"/>
  <c r="D52" i="28"/>
  <c r="D40" i="28"/>
  <c r="A40" i="28" s="1"/>
  <c r="D11" i="28"/>
  <c r="A11" i="28" s="1"/>
  <c r="D244" i="36"/>
  <c r="D169" i="36"/>
  <c r="E169" i="36" s="1"/>
  <c r="D140" i="36"/>
  <c r="D132" i="36"/>
  <c r="D124" i="36"/>
  <c r="D70" i="36"/>
  <c r="E70" i="36" s="1"/>
  <c r="D34" i="36"/>
  <c r="E34" i="36" s="1"/>
  <c r="D58" i="28"/>
  <c r="D50" i="28"/>
  <c r="A50" i="28" s="1"/>
  <c r="D245" i="36"/>
  <c r="D220" i="36"/>
  <c r="E220" i="36" s="1"/>
  <c r="D216" i="36"/>
  <c r="E216" i="36" s="1"/>
  <c r="D170" i="36"/>
  <c r="E170" i="36" s="1"/>
  <c r="D166" i="36"/>
  <c r="E166" i="36" s="1"/>
  <c r="E189" i="36" s="1"/>
  <c r="D141" i="36"/>
  <c r="D137" i="36"/>
  <c r="D133" i="36"/>
  <c r="D129" i="36"/>
  <c r="D125" i="36"/>
  <c r="D121" i="36"/>
  <c r="D75" i="36"/>
  <c r="E75" i="36" s="1"/>
  <c r="D71" i="36"/>
  <c r="E71" i="36" s="1"/>
  <c r="D35" i="36"/>
  <c r="E35" i="36" s="1"/>
  <c r="D31" i="36"/>
  <c r="E31" i="36" s="1"/>
  <c r="D59" i="28"/>
  <c r="D55" i="28"/>
  <c r="D51" i="28"/>
  <c r="D39" i="28"/>
  <c r="A39" i="28" s="1"/>
  <c r="D219" i="36"/>
  <c r="E219" i="36" s="1"/>
  <c r="D165" i="36"/>
  <c r="E165" i="36" s="1"/>
  <c r="D136" i="36"/>
  <c r="D128" i="36"/>
  <c r="D120" i="36"/>
  <c r="D74" i="36"/>
  <c r="E74" i="36" s="1"/>
  <c r="D30" i="36"/>
  <c r="E30" i="36" s="1"/>
  <c r="D62" i="28"/>
  <c r="D54" i="28"/>
  <c r="D38" i="28"/>
  <c r="A38" i="28" s="1"/>
  <c r="D57" i="28"/>
  <c r="D222" i="36"/>
  <c r="E222" i="36" s="1"/>
  <c r="D131" i="36"/>
  <c r="D53" i="28"/>
  <c r="D218" i="36"/>
  <c r="E218" i="36" s="1"/>
  <c r="D164" i="36"/>
  <c r="D127" i="36"/>
  <c r="D29" i="36"/>
  <c r="E29" i="36" s="1"/>
  <c r="D49" i="28"/>
  <c r="A49" i="28" s="1"/>
  <c r="D243" i="36"/>
  <c r="D139" i="36"/>
  <c r="D123" i="36"/>
  <c r="D61" i="28"/>
  <c r="D135" i="36"/>
  <c r="D119" i="36"/>
  <c r="D73" i="36"/>
  <c r="E73" i="36" s="1"/>
  <c r="D41" i="28"/>
  <c r="A41" i="28" s="1"/>
  <c r="D168" i="36"/>
  <c r="E168" i="36" s="1"/>
  <c r="D69" i="36"/>
  <c r="E69" i="36" s="1"/>
  <c r="D33" i="36"/>
  <c r="E33" i="36" s="1"/>
  <c r="D12" i="28"/>
  <c r="A12" i="28" s="1"/>
  <c r="B115" i="41"/>
  <c r="B117" i="41" s="1"/>
  <c r="G136" i="41"/>
  <c r="H287" i="36" s="1"/>
  <c r="G137" i="41"/>
  <c r="C255" i="36"/>
  <c r="C256" i="36" s="1"/>
  <c r="C257" i="36" s="1"/>
  <c r="C258" i="36" s="1"/>
  <c r="A219" i="30"/>
  <c r="N259" i="36"/>
  <c r="K260" i="36" s="1"/>
  <c r="G157" i="41"/>
  <c r="G155" i="41"/>
  <c r="H305" i="36" s="1"/>
  <c r="G156" i="41"/>
  <c r="B84" i="41"/>
  <c r="B81" i="41"/>
  <c r="B89" i="41" s="1"/>
  <c r="B174" i="41"/>
  <c r="B175" i="41" s="1"/>
  <c r="B10" i="41"/>
  <c r="B12" i="41" s="1"/>
  <c r="G148" i="41"/>
  <c r="G146" i="41"/>
  <c r="H296" i="36" s="1"/>
  <c r="G147" i="41"/>
  <c r="C36" i="36"/>
  <c r="G36" i="36" s="1"/>
  <c r="G132" i="41"/>
  <c r="G126" i="41"/>
  <c r="H278" i="36" s="1"/>
  <c r="G127" i="41"/>
  <c r="H279" i="36" s="1"/>
  <c r="G100" i="41"/>
  <c r="H99" i="41" s="1"/>
  <c r="G105" i="41"/>
  <c r="G101" i="41"/>
  <c r="H100" i="41" s="1"/>
  <c r="G99" i="41"/>
  <c r="G102" i="41"/>
  <c r="H101" i="41" s="1"/>
  <c r="G103" i="41"/>
  <c r="H102" i="41" s="1"/>
  <c r="I320" i="39"/>
  <c r="AB41" i="28"/>
  <c r="AD279" i="39"/>
  <c r="X279" i="39" s="1"/>
  <c r="AC50" i="28"/>
  <c r="I339" i="39"/>
  <c r="AC41" i="28"/>
  <c r="A25" i="30"/>
  <c r="C77" i="36"/>
  <c r="G77" i="36" s="1"/>
  <c r="AB40" i="28"/>
  <c r="AA42" i="28"/>
  <c r="AB11" i="28"/>
  <c r="AB49" i="28"/>
  <c r="AC11" i="28"/>
  <c r="AA40" i="28"/>
  <c r="AA51" i="28"/>
  <c r="AA38" i="28"/>
  <c r="AC38" i="28"/>
  <c r="AA50" i="28"/>
  <c r="I340" i="39"/>
  <c r="AD275" i="39"/>
  <c r="X275" i="39" s="1"/>
  <c r="AD283" i="39"/>
  <c r="X283" i="39" s="1"/>
  <c r="AD268" i="39"/>
  <c r="X268" i="39" s="1"/>
  <c r="I341" i="39"/>
  <c r="AD270" i="39"/>
  <c r="X270" i="39" s="1"/>
  <c r="AD269" i="39"/>
  <c r="X269" i="39" s="1"/>
  <c r="AD264" i="39"/>
  <c r="X264" i="39" s="1"/>
  <c r="AD278" i="39"/>
  <c r="X278" i="39" s="1"/>
  <c r="W269" i="39"/>
  <c r="W57" i="39"/>
  <c r="W62" i="39"/>
  <c r="W268" i="39"/>
  <c r="W54" i="39"/>
  <c r="W69" i="39"/>
  <c r="W72" i="39"/>
  <c r="W264" i="39"/>
  <c r="W265" i="39"/>
  <c r="W280" i="39"/>
  <c r="W47" i="39"/>
  <c r="W53" i="39"/>
  <c r="W70" i="39"/>
  <c r="W270" i="39"/>
  <c r="W48" i="39"/>
  <c r="W61" i="39"/>
  <c r="I337" i="39"/>
  <c r="AD280" i="39"/>
  <c r="X280" i="39" s="1"/>
  <c r="AD267" i="39"/>
  <c r="X267" i="39" s="1"/>
  <c r="I338" i="39"/>
  <c r="A284" i="30"/>
  <c r="A313" i="30"/>
  <c r="A87" i="30"/>
  <c r="A39" i="30"/>
  <c r="W275" i="39"/>
  <c r="W279" i="39"/>
  <c r="W283" i="39"/>
  <c r="W49" i="39"/>
  <c r="W74" i="39"/>
  <c r="W266" i="39"/>
  <c r="W55" i="39"/>
  <c r="W56" i="39"/>
  <c r="W58" i="39"/>
  <c r="W63" i="39"/>
  <c r="W71" i="39"/>
  <c r="W73" i="39"/>
  <c r="W267" i="39"/>
  <c r="W278" i="39"/>
  <c r="U391" i="30"/>
  <c r="W50" i="39"/>
  <c r="K130" i="28"/>
  <c r="AD265" i="39"/>
  <c r="X265" i="39" s="1"/>
  <c r="AD266" i="39"/>
  <c r="X266" i="39" s="1"/>
  <c r="AA49" i="28"/>
  <c r="AA41" i="28"/>
  <c r="AA11" i="28"/>
  <c r="AA39" i="28"/>
  <c r="AA12" i="28"/>
  <c r="AC51" i="28"/>
  <c r="AC39" i="28"/>
  <c r="AC49" i="28"/>
  <c r="AC40" i="28"/>
  <c r="AB50" i="28"/>
  <c r="AB42" i="28"/>
  <c r="AB38" i="28"/>
  <c r="AB12" i="28"/>
  <c r="A111" i="30"/>
  <c r="A144" i="30"/>
  <c r="A134" i="30"/>
  <c r="A124" i="30"/>
  <c r="A319" i="30"/>
  <c r="A140" i="30"/>
  <c r="A122" i="30"/>
  <c r="A444" i="30"/>
  <c r="A301" i="30"/>
  <c r="A293" i="30"/>
  <c r="A137" i="30"/>
  <c r="A666" i="30"/>
  <c r="A107" i="30"/>
  <c r="A446" i="30"/>
  <c r="A86" i="30"/>
  <c r="A150" i="30"/>
  <c r="A117" i="30"/>
  <c r="A294" i="30"/>
  <c r="A115" i="30"/>
  <c r="A109" i="30"/>
  <c r="A76" i="30"/>
  <c r="A71" i="30"/>
  <c r="A41" i="30"/>
  <c r="A587" i="30"/>
  <c r="A302" i="30"/>
  <c r="A297" i="30"/>
  <c r="A198" i="30"/>
  <c r="I23" i="73" s="1"/>
  <c r="BI23" i="73" s="1"/>
  <c r="A157" i="30"/>
  <c r="A105" i="30"/>
  <c r="A88" i="30"/>
  <c r="A18" i="30"/>
  <c r="A576" i="30"/>
  <c r="A650" i="30"/>
  <c r="A440" i="30"/>
  <c r="A282" i="30"/>
  <c r="A158" i="30"/>
  <c r="A638" i="30"/>
  <c r="A286" i="30"/>
  <c r="A633" i="30"/>
  <c r="A388" i="30"/>
  <c r="A314" i="30"/>
  <c r="A295" i="30"/>
  <c r="A241" i="30"/>
  <c r="A118" i="30"/>
  <c r="A106" i="30"/>
  <c r="I16" i="73" s="1"/>
  <c r="BI16" i="73" s="1"/>
  <c r="A72" i="30"/>
  <c r="A123" i="30"/>
  <c r="A121" i="30"/>
  <c r="A141" i="30"/>
  <c r="A40" i="30"/>
  <c r="I19" i="73" s="1"/>
  <c r="BI19" i="73" s="1"/>
  <c r="A116" i="30"/>
  <c r="A102" i="30"/>
  <c r="A449" i="30"/>
  <c r="A119" i="30"/>
  <c r="U390" i="30"/>
  <c r="U392" i="30"/>
  <c r="A110" i="30"/>
  <c r="A447" i="30"/>
  <c r="A267" i="30"/>
  <c r="A133" i="30"/>
  <c r="A53" i="30"/>
  <c r="A453" i="30"/>
  <c r="A390" i="30"/>
  <c r="A392" i="30"/>
  <c r="A27" i="30"/>
  <c r="A250" i="30"/>
  <c r="A135" i="30"/>
  <c r="A448" i="30"/>
  <c r="A46" i="30"/>
  <c r="A59" i="30"/>
  <c r="A640" i="30"/>
  <c r="A451" i="30"/>
  <c r="A443" i="30"/>
  <c r="A441" i="30"/>
  <c r="A387" i="30"/>
  <c r="A376" i="30"/>
  <c r="A363" i="30"/>
  <c r="A632" i="30"/>
  <c r="A608" i="30"/>
  <c r="A607" i="30"/>
  <c r="A377" i="30"/>
  <c r="A268" i="30"/>
  <c r="A647" i="30"/>
  <c r="A389" i="30"/>
  <c r="C677" i="30"/>
  <c r="C678" i="30" s="1"/>
  <c r="A649" i="30"/>
  <c r="A635" i="30"/>
  <c r="A20" i="30"/>
  <c r="A315" i="30"/>
  <c r="A104" i="30"/>
  <c r="A643" i="30"/>
  <c r="A642" i="30"/>
  <c r="A641" i="30"/>
  <c r="A663" i="30"/>
  <c r="A19" i="30"/>
  <c r="A44" i="30"/>
  <c r="A577" i="30"/>
  <c r="U389" i="30"/>
  <c r="A31" i="36"/>
  <c r="A247" i="36"/>
  <c r="C247" i="36"/>
  <c r="Q190" i="36"/>
  <c r="A190" i="36"/>
  <c r="G192" i="36"/>
  <c r="Q191" i="36"/>
  <c r="O191" i="36"/>
  <c r="A30" i="36"/>
  <c r="P192" i="36"/>
  <c r="F190" i="36"/>
  <c r="F192" i="36" s="1"/>
  <c r="O223" i="39" l="1"/>
  <c r="BI37" i="73"/>
  <c r="L55" i="30"/>
  <c r="P55" i="30" s="1"/>
  <c r="L168" i="30"/>
  <c r="P168" i="30" s="1"/>
  <c r="D42" i="73"/>
  <c r="AW42" i="73" s="1"/>
  <c r="D41" i="73"/>
  <c r="D44" i="73"/>
  <c r="AW44" i="73" s="1"/>
  <c r="D43" i="73"/>
  <c r="AW43" i="73" s="1"/>
  <c r="D32" i="73"/>
  <c r="D31" i="73"/>
  <c r="AW31" i="73" s="1"/>
  <c r="B96" i="41"/>
  <c r="D13" i="28"/>
  <c r="A13" i="28" s="1"/>
  <c r="F13" i="28"/>
  <c r="C127" i="28"/>
  <c r="C128" i="28" s="1"/>
  <c r="O245" i="39"/>
  <c r="O249" i="39"/>
  <c r="O240" i="39"/>
  <c r="O241" i="39"/>
  <c r="O250" i="39"/>
  <c r="O246" i="39"/>
  <c r="O244" i="39"/>
  <c r="AD243" i="39"/>
  <c r="X243" i="39" s="1"/>
  <c r="Y243" i="39" s="1"/>
  <c r="Z243" i="39" s="1"/>
  <c r="R243" i="39" s="1"/>
  <c r="S243" i="39" s="1"/>
  <c r="AD241" i="39"/>
  <c r="X241" i="39" s="1"/>
  <c r="Y241" i="39" s="1"/>
  <c r="AD239" i="39"/>
  <c r="X239" i="39" s="1"/>
  <c r="Y239" i="39" s="1"/>
  <c r="Z239" i="39" s="1"/>
  <c r="R239" i="39" s="1"/>
  <c r="S239" i="39" s="1"/>
  <c r="AD244" i="39"/>
  <c r="X244" i="39" s="1"/>
  <c r="Y244" i="39" s="1"/>
  <c r="AD242" i="39"/>
  <c r="X242" i="39" s="1"/>
  <c r="Y242" i="39" s="1"/>
  <c r="Z242" i="39" s="1"/>
  <c r="R242" i="39" s="1"/>
  <c r="S242" i="39" s="1"/>
  <c r="AD238" i="39"/>
  <c r="X238" i="39" s="1"/>
  <c r="Y238" i="39" s="1"/>
  <c r="Z238" i="39" s="1"/>
  <c r="R238" i="39" s="1"/>
  <c r="S238" i="39" s="1"/>
  <c r="AD240" i="39"/>
  <c r="X240" i="39" s="1"/>
  <c r="O238" i="39"/>
  <c r="O242" i="39"/>
  <c r="O239" i="39"/>
  <c r="O243" i="39"/>
  <c r="AD250" i="39"/>
  <c r="X250" i="39" s="1"/>
  <c r="Y250" i="39" s="1"/>
  <c r="Z250" i="39" s="1"/>
  <c r="R250" i="39" s="1"/>
  <c r="S250" i="39" s="1"/>
  <c r="AD248" i="39"/>
  <c r="X248" i="39" s="1"/>
  <c r="AD246" i="39"/>
  <c r="X246" i="39" s="1"/>
  <c r="Y246" i="39" s="1"/>
  <c r="Z246" i="39" s="1"/>
  <c r="R246" i="39" s="1"/>
  <c r="S246" i="39" s="1"/>
  <c r="AD249" i="39"/>
  <c r="X249" i="39" s="1"/>
  <c r="Y249" i="39" s="1"/>
  <c r="Z249" i="39" s="1"/>
  <c r="R249" i="39" s="1"/>
  <c r="S249" i="39" s="1"/>
  <c r="U249" i="39" s="1"/>
  <c r="T249" i="39" s="1"/>
  <c r="AD245" i="39"/>
  <c r="X245" i="39" s="1"/>
  <c r="AD247" i="39"/>
  <c r="X247" i="39" s="1"/>
  <c r="Y247" i="39" s="1"/>
  <c r="O213" i="39"/>
  <c r="O247" i="39"/>
  <c r="O248" i="39"/>
  <c r="O225" i="39"/>
  <c r="O121" i="39"/>
  <c r="O211" i="39"/>
  <c r="O215" i="39"/>
  <c r="O214" i="39"/>
  <c r="O224" i="39"/>
  <c r="AD225" i="39"/>
  <c r="X225" i="39" s="1"/>
  <c r="Y225" i="39" s="1"/>
  <c r="Z225" i="39" s="1"/>
  <c r="R225" i="39" s="1"/>
  <c r="S225" i="39" s="1"/>
  <c r="AD223" i="39"/>
  <c r="X223" i="39" s="1"/>
  <c r="Y223" i="39" s="1"/>
  <c r="Z223" i="39" s="1"/>
  <c r="R223" i="39" s="1"/>
  <c r="S223" i="39" s="1"/>
  <c r="U223" i="39" s="1"/>
  <c r="T223" i="39" s="1"/>
  <c r="AD221" i="39"/>
  <c r="X221" i="39" s="1"/>
  <c r="Y221" i="39" s="1"/>
  <c r="Z221" i="39" s="1"/>
  <c r="R221" i="39" s="1"/>
  <c r="S221" i="39" s="1"/>
  <c r="AD219" i="39"/>
  <c r="X219" i="39" s="1"/>
  <c r="Y219" i="39" s="1"/>
  <c r="Z219" i="39" s="1"/>
  <c r="R219" i="39" s="1"/>
  <c r="S219" i="39" s="1"/>
  <c r="AD217" i="39"/>
  <c r="X217" i="39" s="1"/>
  <c r="AD215" i="39"/>
  <c r="X215" i="39" s="1"/>
  <c r="Y215" i="39" s="1"/>
  <c r="Z215" i="39" s="1"/>
  <c r="R215" i="39" s="1"/>
  <c r="S215" i="39" s="1"/>
  <c r="U215" i="39" s="1"/>
  <c r="T215" i="39" s="1"/>
  <c r="AD213" i="39"/>
  <c r="X213" i="39" s="1"/>
  <c r="AD211" i="39"/>
  <c r="X211" i="39" s="1"/>
  <c r="Y211" i="39" s="1"/>
  <c r="Z211" i="39" s="1"/>
  <c r="R211" i="39" s="1"/>
  <c r="S211" i="39" s="1"/>
  <c r="AD209" i="39"/>
  <c r="X209" i="39" s="1"/>
  <c r="Y209" i="39" s="1"/>
  <c r="Z209" i="39" s="1"/>
  <c r="R209" i="39" s="1"/>
  <c r="S209" i="39" s="1"/>
  <c r="AD207" i="39"/>
  <c r="X207" i="39" s="1"/>
  <c r="Y207" i="39" s="1"/>
  <c r="AD214" i="39"/>
  <c r="X214" i="39" s="1"/>
  <c r="Y214" i="39" s="1"/>
  <c r="AD206" i="39"/>
  <c r="X206" i="39" s="1"/>
  <c r="Y206" i="39" s="1"/>
  <c r="Z206" i="39" s="1"/>
  <c r="R206" i="39" s="1"/>
  <c r="S206" i="39" s="1"/>
  <c r="AD222" i="39"/>
  <c r="X222" i="39" s="1"/>
  <c r="Y222" i="39" s="1"/>
  <c r="Z222" i="39" s="1"/>
  <c r="R222" i="39" s="1"/>
  <c r="S222" i="39" s="1"/>
  <c r="AD220" i="39"/>
  <c r="X220" i="39" s="1"/>
  <c r="Y220" i="39" s="1"/>
  <c r="Z220" i="39" s="1"/>
  <c r="R220" i="39" s="1"/>
  <c r="S220" i="39" s="1"/>
  <c r="AD212" i="39"/>
  <c r="X212" i="39" s="1"/>
  <c r="AD218" i="39"/>
  <c r="X218" i="39" s="1"/>
  <c r="AD210" i="39"/>
  <c r="X210" i="39" s="1"/>
  <c r="Y210" i="39" s="1"/>
  <c r="Z210" i="39" s="1"/>
  <c r="R210" i="39" s="1"/>
  <c r="S210" i="39" s="1"/>
  <c r="AD224" i="39"/>
  <c r="X224" i="39" s="1"/>
  <c r="Y224" i="39" s="1"/>
  <c r="Z224" i="39" s="1"/>
  <c r="R224" i="39" s="1"/>
  <c r="S224" i="39" s="1"/>
  <c r="AD216" i="39"/>
  <c r="X216" i="39" s="1"/>
  <c r="AD208" i="39"/>
  <c r="X208" i="39" s="1"/>
  <c r="Y208" i="39" s="1"/>
  <c r="Z208" i="39" s="1"/>
  <c r="R208" i="39" s="1"/>
  <c r="S208" i="39" s="1"/>
  <c r="O219" i="39"/>
  <c r="O221" i="39"/>
  <c r="O209" i="39"/>
  <c r="O216" i="39"/>
  <c r="O210" i="39"/>
  <c r="O212" i="39"/>
  <c r="O217" i="39"/>
  <c r="O222" i="39"/>
  <c r="O208" i="39"/>
  <c r="O218" i="39"/>
  <c r="O207" i="39"/>
  <c r="O220" i="39"/>
  <c r="O206" i="39"/>
  <c r="O125" i="39"/>
  <c r="AD127" i="39"/>
  <c r="X127" i="39" s="1"/>
  <c r="AD125" i="39"/>
  <c r="X125" i="39" s="1"/>
  <c r="Y125" i="39" s="1"/>
  <c r="AD123" i="39"/>
  <c r="X123" i="39" s="1"/>
  <c r="Y123" i="39" s="1"/>
  <c r="AD126" i="39"/>
  <c r="X126" i="39" s="1"/>
  <c r="AD124" i="39"/>
  <c r="X124" i="39" s="1"/>
  <c r="Y124" i="39" s="1"/>
  <c r="AD122" i="39"/>
  <c r="X122" i="39" s="1"/>
  <c r="Y122" i="39" s="1"/>
  <c r="AD121" i="39"/>
  <c r="X121" i="39" s="1"/>
  <c r="O127" i="39"/>
  <c r="O123" i="39"/>
  <c r="O124" i="39"/>
  <c r="O122" i="39"/>
  <c r="O126" i="39"/>
  <c r="O180" i="39"/>
  <c r="O187" i="39"/>
  <c r="O183" i="39"/>
  <c r="O190" i="39"/>
  <c r="O197" i="39"/>
  <c r="AD192" i="39"/>
  <c r="X192" i="39" s="1"/>
  <c r="Y192" i="39" s="1"/>
  <c r="Z192" i="39" s="1"/>
  <c r="R192" i="39" s="1"/>
  <c r="S192" i="39" s="1"/>
  <c r="AD189" i="39"/>
  <c r="X189" i="39" s="1"/>
  <c r="Y189" i="39" s="1"/>
  <c r="AD187" i="39"/>
  <c r="X187" i="39" s="1"/>
  <c r="Y187" i="39" s="1"/>
  <c r="AD185" i="39"/>
  <c r="X185" i="39" s="1"/>
  <c r="Y185" i="39" s="1"/>
  <c r="Z185" i="39" s="1"/>
  <c r="R185" i="39" s="1"/>
  <c r="S185" i="39" s="1"/>
  <c r="AD183" i="39"/>
  <c r="X183" i="39" s="1"/>
  <c r="Y183" i="39" s="1"/>
  <c r="Z183" i="39" s="1"/>
  <c r="R183" i="39" s="1"/>
  <c r="S183" i="39" s="1"/>
  <c r="AD182" i="39"/>
  <c r="X182" i="39" s="1"/>
  <c r="Y182" i="39" s="1"/>
  <c r="AD180" i="39"/>
  <c r="X180" i="39" s="1"/>
  <c r="Y180" i="39" s="1"/>
  <c r="AD181" i="39"/>
  <c r="X181" i="39" s="1"/>
  <c r="Y181" i="39" s="1"/>
  <c r="Z181" i="39" s="1"/>
  <c r="R181" i="39" s="1"/>
  <c r="S181" i="39" s="1"/>
  <c r="AD190" i="39"/>
  <c r="X190" i="39" s="1"/>
  <c r="Y190" i="39" s="1"/>
  <c r="Z190" i="39" s="1"/>
  <c r="R190" i="39" s="1"/>
  <c r="S190" i="39" s="1"/>
  <c r="AD186" i="39"/>
  <c r="X186" i="39" s="1"/>
  <c r="Y186" i="39" s="1"/>
  <c r="AD191" i="39"/>
  <c r="X191" i="39" s="1"/>
  <c r="Y191" i="39" s="1"/>
  <c r="Z191" i="39" s="1"/>
  <c r="R191" i="39" s="1"/>
  <c r="S191" i="39" s="1"/>
  <c r="AD188" i="39"/>
  <c r="X188" i="39" s="1"/>
  <c r="Y188" i="39" s="1"/>
  <c r="Z188" i="39" s="1"/>
  <c r="R188" i="39" s="1"/>
  <c r="S188" i="39" s="1"/>
  <c r="AD184" i="39"/>
  <c r="X184" i="39" s="1"/>
  <c r="Y184" i="39" s="1"/>
  <c r="Z184" i="39" s="1"/>
  <c r="R184" i="39" s="1"/>
  <c r="S184" i="39" s="1"/>
  <c r="O185" i="39"/>
  <c r="O186" i="39"/>
  <c r="O161" i="39"/>
  <c r="O181" i="39"/>
  <c r="O189" i="39"/>
  <c r="O184" i="39"/>
  <c r="O182" i="39"/>
  <c r="O192" i="39"/>
  <c r="O188" i="39"/>
  <c r="O191" i="39"/>
  <c r="O164" i="39"/>
  <c r="O166" i="39"/>
  <c r="O168" i="39"/>
  <c r="AD167" i="39"/>
  <c r="X167" i="39" s="1"/>
  <c r="Y167" i="39" s="1"/>
  <c r="Z167" i="39" s="1"/>
  <c r="R167" i="39" s="1"/>
  <c r="S167" i="39" s="1"/>
  <c r="AD165" i="39"/>
  <c r="X165" i="39" s="1"/>
  <c r="Y165" i="39" s="1"/>
  <c r="AD163" i="39"/>
  <c r="X163" i="39" s="1"/>
  <c r="AD161" i="39"/>
  <c r="X161" i="39" s="1"/>
  <c r="Y161" i="39" s="1"/>
  <c r="Z161" i="39" s="1"/>
  <c r="R161" i="39" s="1"/>
  <c r="S161" i="39" s="1"/>
  <c r="AD159" i="39"/>
  <c r="X159" i="39" s="1"/>
  <c r="Y159" i="39" s="1"/>
  <c r="Z159" i="39" s="1"/>
  <c r="R159" i="39" s="1"/>
  <c r="S159" i="39" s="1"/>
  <c r="AD162" i="39"/>
  <c r="X162" i="39" s="1"/>
  <c r="AD168" i="39"/>
  <c r="X168" i="39" s="1"/>
  <c r="Y168" i="39" s="1"/>
  <c r="Z168" i="39" s="1"/>
  <c r="R168" i="39" s="1"/>
  <c r="S168" i="39" s="1"/>
  <c r="AD160" i="39"/>
  <c r="X160" i="39" s="1"/>
  <c r="AD164" i="39"/>
  <c r="X164" i="39" s="1"/>
  <c r="Y164" i="39" s="1"/>
  <c r="AD166" i="39"/>
  <c r="X166" i="39" s="1"/>
  <c r="O160" i="39"/>
  <c r="O165" i="39"/>
  <c r="O154" i="39"/>
  <c r="O159" i="39"/>
  <c r="O167" i="39"/>
  <c r="O163" i="39"/>
  <c r="O162" i="39"/>
  <c r="O133" i="39"/>
  <c r="O151" i="39"/>
  <c r="O150" i="39"/>
  <c r="AD155" i="39"/>
  <c r="X155" i="39" s="1"/>
  <c r="Y155" i="39" s="1"/>
  <c r="Z155" i="39" s="1"/>
  <c r="R155" i="39" s="1"/>
  <c r="S155" i="39" s="1"/>
  <c r="AD153" i="39"/>
  <c r="X153" i="39" s="1"/>
  <c r="AD151" i="39"/>
  <c r="X151" i="39" s="1"/>
  <c r="Y151" i="39" s="1"/>
  <c r="AD156" i="39"/>
  <c r="X156" i="39" s="1"/>
  <c r="Y156" i="39" s="1"/>
  <c r="AD154" i="39"/>
  <c r="X154" i="39" s="1"/>
  <c r="AD150" i="39"/>
  <c r="X150" i="39" s="1"/>
  <c r="Y150" i="39" s="1"/>
  <c r="AD152" i="39"/>
  <c r="X152" i="39" s="1"/>
  <c r="Y152" i="39" s="1"/>
  <c r="O153" i="39"/>
  <c r="BE96" i="73"/>
  <c r="AS96" i="73" s="1"/>
  <c r="BC96" i="73"/>
  <c r="AQ96" i="73" s="1"/>
  <c r="O143" i="39"/>
  <c r="O155" i="39"/>
  <c r="O152" i="39"/>
  <c r="O156" i="39"/>
  <c r="O149" i="39"/>
  <c r="O142" i="39"/>
  <c r="O146" i="39"/>
  <c r="O136" i="39"/>
  <c r="O139" i="39"/>
  <c r="O141" i="39"/>
  <c r="AD148" i="39"/>
  <c r="X148" i="39" s="1"/>
  <c r="Y148" i="39" s="1"/>
  <c r="AD146" i="39"/>
  <c r="X146" i="39" s="1"/>
  <c r="AD144" i="39"/>
  <c r="X144" i="39" s="1"/>
  <c r="AD142" i="39"/>
  <c r="X142" i="39" s="1"/>
  <c r="AD140" i="39"/>
  <c r="X140" i="39" s="1"/>
  <c r="Y140" i="39" s="1"/>
  <c r="Z140" i="39" s="1"/>
  <c r="R140" i="39" s="1"/>
  <c r="S140" i="39" s="1"/>
  <c r="AD141" i="39"/>
  <c r="X141" i="39" s="1"/>
  <c r="AD145" i="39"/>
  <c r="X145" i="39" s="1"/>
  <c r="Y145" i="39" s="1"/>
  <c r="Z145" i="39" s="1"/>
  <c r="R145" i="39" s="1"/>
  <c r="S145" i="39" s="1"/>
  <c r="U145" i="39" s="1"/>
  <c r="T145" i="39" s="1"/>
  <c r="AD147" i="39"/>
  <c r="X147" i="39" s="1"/>
  <c r="AD143" i="39"/>
  <c r="X143" i="39" s="1"/>
  <c r="Y143" i="39" s="1"/>
  <c r="AD149" i="39"/>
  <c r="X149" i="39" s="1"/>
  <c r="Y144" i="39"/>
  <c r="Z144" i="39" s="1"/>
  <c r="R144" i="39" s="1"/>
  <c r="S144" i="39" s="1"/>
  <c r="O147" i="39"/>
  <c r="O140" i="39"/>
  <c r="O144" i="39"/>
  <c r="O148" i="39"/>
  <c r="O138" i="39"/>
  <c r="O132" i="39"/>
  <c r="AD138" i="39"/>
  <c r="X138" i="39" s="1"/>
  <c r="Y138" i="39" s="1"/>
  <c r="Z138" i="39" s="1"/>
  <c r="R138" i="39" s="1"/>
  <c r="S138" i="39" s="1"/>
  <c r="AD135" i="39"/>
  <c r="X135" i="39" s="1"/>
  <c r="AD133" i="39"/>
  <c r="X133" i="39" s="1"/>
  <c r="AD139" i="39"/>
  <c r="X139" i="39" s="1"/>
  <c r="Y139" i="39" s="1"/>
  <c r="Z139" i="39" s="1"/>
  <c r="R139" i="39" s="1"/>
  <c r="S139" i="39" s="1"/>
  <c r="AD137" i="39"/>
  <c r="X137" i="39" s="1"/>
  <c r="Y137" i="39" s="1"/>
  <c r="AD136" i="39"/>
  <c r="X136" i="39" s="1"/>
  <c r="Y136" i="39" s="1"/>
  <c r="AD132" i="39"/>
  <c r="X132" i="39" s="1"/>
  <c r="Y132" i="39" s="1"/>
  <c r="Z132" i="39" s="1"/>
  <c r="R132" i="39" s="1"/>
  <c r="S132" i="39" s="1"/>
  <c r="AD134" i="39"/>
  <c r="X134" i="39" s="1"/>
  <c r="Y134" i="39" s="1"/>
  <c r="O135" i="39"/>
  <c r="O134" i="39"/>
  <c r="O137" i="39"/>
  <c r="O76" i="39"/>
  <c r="O84" i="39"/>
  <c r="O20" i="39"/>
  <c r="O113" i="39"/>
  <c r="O117" i="39"/>
  <c r="AD117" i="39"/>
  <c r="X117" i="39" s="1"/>
  <c r="Y117" i="39" s="1"/>
  <c r="Z117" i="39" s="1"/>
  <c r="R117" i="39" s="1"/>
  <c r="S117" i="39" s="1"/>
  <c r="AD115" i="39"/>
  <c r="X115" i="39" s="1"/>
  <c r="AD113" i="39"/>
  <c r="X113" i="39" s="1"/>
  <c r="Y113" i="39" s="1"/>
  <c r="AD118" i="39"/>
  <c r="X118" i="39" s="1"/>
  <c r="Y118" i="39" s="1"/>
  <c r="AD116" i="39"/>
  <c r="X116" i="39" s="1"/>
  <c r="AD114" i="39"/>
  <c r="X114" i="39" s="1"/>
  <c r="Y114" i="39" s="1"/>
  <c r="O114" i="39"/>
  <c r="O116" i="39"/>
  <c r="O118" i="39"/>
  <c r="O115" i="39"/>
  <c r="AD105" i="39"/>
  <c r="X105" i="39" s="1"/>
  <c r="Y105" i="39" s="1"/>
  <c r="AD103" i="39"/>
  <c r="X103" i="39" s="1"/>
  <c r="AD106" i="39"/>
  <c r="X106" i="39" s="1"/>
  <c r="Y106" i="39" s="1"/>
  <c r="AD104" i="39"/>
  <c r="X104" i="39" s="1"/>
  <c r="Y104" i="39" s="1"/>
  <c r="Z104" i="39" s="1"/>
  <c r="R104" i="39" s="1"/>
  <c r="S104" i="39" s="1"/>
  <c r="O103" i="39"/>
  <c r="O104" i="39"/>
  <c r="O105" i="39"/>
  <c r="O36" i="39"/>
  <c r="O106" i="39"/>
  <c r="O38" i="39"/>
  <c r="O33" i="39"/>
  <c r="O30" i="39"/>
  <c r="AD41" i="39"/>
  <c r="X41" i="39" s="1"/>
  <c r="Y41" i="39" s="1"/>
  <c r="AD39" i="39"/>
  <c r="X39" i="39" s="1"/>
  <c r="Y39" i="39" s="1"/>
  <c r="Z39" i="39" s="1"/>
  <c r="R39" i="39" s="1"/>
  <c r="S39" i="39" s="1"/>
  <c r="AD37" i="39"/>
  <c r="X37" i="39" s="1"/>
  <c r="Y37" i="39" s="1"/>
  <c r="Z37" i="39" s="1"/>
  <c r="R37" i="39" s="1"/>
  <c r="S37" i="39" s="1"/>
  <c r="AD35" i="39"/>
  <c r="X35" i="39" s="1"/>
  <c r="Y35" i="39" s="1"/>
  <c r="Z35" i="39" s="1"/>
  <c r="R35" i="39" s="1"/>
  <c r="S35" i="39" s="1"/>
  <c r="AD33" i="39"/>
  <c r="X33" i="39" s="1"/>
  <c r="Y33" i="39" s="1"/>
  <c r="Z33" i="39" s="1"/>
  <c r="R33" i="39" s="1"/>
  <c r="S33" i="39" s="1"/>
  <c r="AD29" i="39"/>
  <c r="X29" i="39" s="1"/>
  <c r="AD40" i="39"/>
  <c r="X40" i="39" s="1"/>
  <c r="Y40" i="39" s="1"/>
  <c r="Z40" i="39" s="1"/>
  <c r="R40" i="39" s="1"/>
  <c r="S40" i="39" s="1"/>
  <c r="AD36" i="39"/>
  <c r="X36" i="39" s="1"/>
  <c r="Y36" i="39" s="1"/>
  <c r="AD32" i="39"/>
  <c r="X32" i="39" s="1"/>
  <c r="AD30" i="39"/>
  <c r="X30" i="39" s="1"/>
  <c r="AD42" i="39"/>
  <c r="X42" i="39" s="1"/>
  <c r="Y42" i="39" s="1"/>
  <c r="Z42" i="39" s="1"/>
  <c r="R42" i="39" s="1"/>
  <c r="S42" i="39" s="1"/>
  <c r="AD38" i="39"/>
  <c r="X38" i="39" s="1"/>
  <c r="Y38" i="39" s="1"/>
  <c r="AD34" i="39"/>
  <c r="X34" i="39" s="1"/>
  <c r="Y34" i="39" s="1"/>
  <c r="AD31" i="39"/>
  <c r="X31" i="39" s="1"/>
  <c r="Y31" i="39" s="1"/>
  <c r="Z31" i="39" s="1"/>
  <c r="R31" i="39" s="1"/>
  <c r="S31" i="39" s="1"/>
  <c r="O29" i="39"/>
  <c r="O37" i="39"/>
  <c r="O41" i="39"/>
  <c r="Y30" i="39"/>
  <c r="O40" i="39"/>
  <c r="O32" i="39"/>
  <c r="O34" i="39"/>
  <c r="O42" i="39"/>
  <c r="O31" i="39"/>
  <c r="O35" i="39"/>
  <c r="O39" i="39"/>
  <c r="Y29" i="39"/>
  <c r="Z29" i="39" s="1"/>
  <c r="R29" i="39" s="1"/>
  <c r="S29" i="39" s="1"/>
  <c r="O26" i="39"/>
  <c r="O19" i="39"/>
  <c r="O23" i="39"/>
  <c r="AD26" i="39"/>
  <c r="X26" i="39" s="1"/>
  <c r="AD24" i="39"/>
  <c r="X24" i="39" s="1"/>
  <c r="Y24" i="39" s="1"/>
  <c r="AD22" i="39"/>
  <c r="X22" i="39" s="1"/>
  <c r="Y22" i="39" s="1"/>
  <c r="Z22" i="39" s="1"/>
  <c r="R22" i="39" s="1"/>
  <c r="S22" i="39" s="1"/>
  <c r="AD20" i="39"/>
  <c r="X20" i="39" s="1"/>
  <c r="Y20" i="39" s="1"/>
  <c r="Z20" i="39" s="1"/>
  <c r="R20" i="39" s="1"/>
  <c r="S20" i="39" s="1"/>
  <c r="AD23" i="39"/>
  <c r="X23" i="39" s="1"/>
  <c r="Y23" i="39" s="1"/>
  <c r="Z23" i="39" s="1"/>
  <c r="R23" i="39" s="1"/>
  <c r="S23" i="39" s="1"/>
  <c r="AD21" i="39"/>
  <c r="X21" i="39" s="1"/>
  <c r="Y21" i="39" s="1"/>
  <c r="Z21" i="39" s="1"/>
  <c r="R21" i="39" s="1"/>
  <c r="S21" i="39" s="1"/>
  <c r="AD25" i="39"/>
  <c r="X25" i="39" s="1"/>
  <c r="Y25" i="39" s="1"/>
  <c r="Z25" i="39" s="1"/>
  <c r="R25" i="39" s="1"/>
  <c r="S25" i="39" s="1"/>
  <c r="AD19" i="39"/>
  <c r="X19" i="39" s="1"/>
  <c r="Y19" i="39" s="1"/>
  <c r="Z19" i="39" s="1"/>
  <c r="R19" i="39" s="1"/>
  <c r="S19" i="39" s="1"/>
  <c r="O22" i="39"/>
  <c r="O24" i="39"/>
  <c r="O21" i="39"/>
  <c r="O25" i="39"/>
  <c r="O79" i="39"/>
  <c r="O80" i="39"/>
  <c r="AD84" i="39"/>
  <c r="X84" i="39" s="1"/>
  <c r="AD82" i="39"/>
  <c r="X82" i="39" s="1"/>
  <c r="Y82" i="39" s="1"/>
  <c r="Z82" i="39" s="1"/>
  <c r="R82" i="39" s="1"/>
  <c r="S82" i="39" s="1"/>
  <c r="AD80" i="39"/>
  <c r="X80" i="39" s="1"/>
  <c r="Y80" i="39" s="1"/>
  <c r="Z80" i="39" s="1"/>
  <c r="R80" i="39" s="1"/>
  <c r="S80" i="39" s="1"/>
  <c r="AD78" i="39"/>
  <c r="X78" i="39" s="1"/>
  <c r="Y78" i="39" s="1"/>
  <c r="Z78" i="39" s="1"/>
  <c r="R78" i="39" s="1"/>
  <c r="S78" i="39" s="1"/>
  <c r="AD76" i="39"/>
  <c r="X76" i="39" s="1"/>
  <c r="Y76" i="39" s="1"/>
  <c r="AD77" i="39"/>
  <c r="X77" i="39" s="1"/>
  <c r="Y77" i="39" s="1"/>
  <c r="Z77" i="39" s="1"/>
  <c r="R77" i="39" s="1"/>
  <c r="S77" i="39" s="1"/>
  <c r="AD83" i="39"/>
  <c r="X83" i="39" s="1"/>
  <c r="Y83" i="39" s="1"/>
  <c r="AD81" i="39"/>
  <c r="X81" i="39" s="1"/>
  <c r="Y81" i="39" s="1"/>
  <c r="Z81" i="39" s="1"/>
  <c r="R81" i="39" s="1"/>
  <c r="S81" i="39" s="1"/>
  <c r="AD79" i="39"/>
  <c r="X79" i="39" s="1"/>
  <c r="Y79" i="39" s="1"/>
  <c r="Z79" i="39" s="1"/>
  <c r="R79" i="39" s="1"/>
  <c r="S79" i="39" s="1"/>
  <c r="O82" i="39"/>
  <c r="O83" i="39"/>
  <c r="O77" i="39"/>
  <c r="O81" i="39"/>
  <c r="O78" i="39"/>
  <c r="O14" i="39"/>
  <c r="O16" i="39"/>
  <c r="O15" i="39"/>
  <c r="AD15" i="39"/>
  <c r="X15" i="39" s="1"/>
  <c r="Y15" i="39" s="1"/>
  <c r="Z15" i="39" s="1"/>
  <c r="R15" i="39" s="1"/>
  <c r="S15" i="39" s="1"/>
  <c r="AD16" i="39"/>
  <c r="X16" i="39" s="1"/>
  <c r="Y16" i="39" s="1"/>
  <c r="Z16" i="39" s="1"/>
  <c r="R16" i="39" s="1"/>
  <c r="S16" i="39" s="1"/>
  <c r="AD14" i="39"/>
  <c r="X14" i="39" s="1"/>
  <c r="Y14" i="39" s="1"/>
  <c r="Z14" i="39" s="1"/>
  <c r="R14" i="39" s="1"/>
  <c r="S14" i="39" s="1"/>
  <c r="L644" i="30"/>
  <c r="P644" i="30" s="1"/>
  <c r="L550" i="30"/>
  <c r="P550" i="30" s="1"/>
  <c r="L506" i="30"/>
  <c r="P506" i="30" s="1"/>
  <c r="L367" i="30"/>
  <c r="P367" i="30" s="1"/>
  <c r="L360" i="30"/>
  <c r="P360" i="30" s="1"/>
  <c r="L357" i="30"/>
  <c r="P357" i="30" s="1"/>
  <c r="L368" i="30"/>
  <c r="P368" i="30" s="1"/>
  <c r="L359" i="30"/>
  <c r="P359" i="30" s="1"/>
  <c r="L356" i="30"/>
  <c r="P356" i="30" s="1"/>
  <c r="L358" i="30"/>
  <c r="P358" i="30" s="1"/>
  <c r="L355" i="30"/>
  <c r="P355" i="30" s="1"/>
  <c r="L361" i="30"/>
  <c r="P361" i="30" s="1"/>
  <c r="L336" i="30"/>
  <c r="P336" i="30" s="1"/>
  <c r="L337" i="30"/>
  <c r="P337" i="30" s="1"/>
  <c r="L257" i="30"/>
  <c r="P257" i="30" s="1"/>
  <c r="L335" i="30"/>
  <c r="P335" i="30" s="1"/>
  <c r="L206" i="30"/>
  <c r="P206" i="30" s="1"/>
  <c r="L256" i="30"/>
  <c r="P256" i="30" s="1"/>
  <c r="L188" i="30"/>
  <c r="P188" i="30" s="1"/>
  <c r="L84" i="30"/>
  <c r="P84" i="30" s="1"/>
  <c r="L77" i="30"/>
  <c r="P77" i="30" s="1"/>
  <c r="L83" i="30"/>
  <c r="P83" i="30" s="1"/>
  <c r="I36" i="73"/>
  <c r="BI36" i="73" s="1"/>
  <c r="I35" i="73"/>
  <c r="BI35" i="73" s="1"/>
  <c r="I27" i="73"/>
  <c r="BI27" i="73" s="1"/>
  <c r="I26" i="73"/>
  <c r="BI26" i="73" s="1"/>
  <c r="I38" i="73"/>
  <c r="BI38" i="73" s="1"/>
  <c r="AY96" i="73"/>
  <c r="AL96" i="73"/>
  <c r="AZ94" i="73"/>
  <c r="AN94" i="73" s="1"/>
  <c r="AX94" i="73"/>
  <c r="E94" i="73"/>
  <c r="AW94" i="73"/>
  <c r="H94" i="73"/>
  <c r="AW95" i="73"/>
  <c r="AX95" i="73"/>
  <c r="E95" i="73"/>
  <c r="H95" i="73"/>
  <c r="AZ95" i="73"/>
  <c r="AL97" i="73"/>
  <c r="AY97" i="73"/>
  <c r="B122" i="41"/>
  <c r="B124" i="41" s="1"/>
  <c r="I116" i="73"/>
  <c r="BI116" i="73" s="1"/>
  <c r="I117" i="73"/>
  <c r="BI117" i="73" s="1"/>
  <c r="I118" i="73"/>
  <c r="BI118" i="73" s="1"/>
  <c r="L326" i="30"/>
  <c r="P326" i="30" s="1"/>
  <c r="BI111" i="73"/>
  <c r="BC95" i="73"/>
  <c r="BC94" i="73"/>
  <c r="BD95" i="73"/>
  <c r="BD94" i="73"/>
  <c r="AR94" i="73" s="1"/>
  <c r="G7" i="73"/>
  <c r="BE94" i="73"/>
  <c r="AS94" i="73" s="1"/>
  <c r="BE95" i="73"/>
  <c r="BF97" i="73"/>
  <c r="Y97" i="73" s="1"/>
  <c r="AQ97" i="73"/>
  <c r="AT97" i="73" s="1"/>
  <c r="L327" i="30"/>
  <c r="P327" i="30" s="1"/>
  <c r="L324" i="30"/>
  <c r="P324" i="30" s="1"/>
  <c r="L329" i="30"/>
  <c r="P329" i="30" s="1"/>
  <c r="L328" i="30"/>
  <c r="P328" i="30" s="1"/>
  <c r="L325" i="30"/>
  <c r="P325" i="30" s="1"/>
  <c r="AA13" i="28"/>
  <c r="C14" i="28"/>
  <c r="D14" i="28" s="1"/>
  <c r="A14" i="28" s="1"/>
  <c r="AC13" i="28"/>
  <c r="D63" i="28"/>
  <c r="X13" i="28"/>
  <c r="H282" i="36"/>
  <c r="H130" i="41"/>
  <c r="I282" i="36" s="1"/>
  <c r="H283" i="36"/>
  <c r="I280" i="36"/>
  <c r="H281" i="36"/>
  <c r="H127" i="41"/>
  <c r="I279" i="36" s="1"/>
  <c r="H280" i="36"/>
  <c r="AB13" i="28"/>
  <c r="B67" i="41"/>
  <c r="C64" i="28"/>
  <c r="F64" i="28" s="1"/>
  <c r="X63" i="28"/>
  <c r="AD253" i="39"/>
  <c r="X253" i="39" s="1"/>
  <c r="Y253" i="39" s="1"/>
  <c r="Z253" i="39" s="1"/>
  <c r="R253" i="39" s="1"/>
  <c r="S253" i="39" s="1"/>
  <c r="AD230" i="39"/>
  <c r="X230" i="39" s="1"/>
  <c r="Y230" i="39" s="1"/>
  <c r="Z230" i="39" s="1"/>
  <c r="R230" i="39" s="1"/>
  <c r="S230" i="39" s="1"/>
  <c r="AD200" i="39"/>
  <c r="X200" i="39" s="1"/>
  <c r="Y200" i="39" s="1"/>
  <c r="Z200" i="39" s="1"/>
  <c r="R200" i="39" s="1"/>
  <c r="S200" i="39" s="1"/>
  <c r="AD197" i="39"/>
  <c r="X197" i="39" s="1"/>
  <c r="Y197" i="39" s="1"/>
  <c r="Z197" i="39" s="1"/>
  <c r="R197" i="39" s="1"/>
  <c r="S197" i="39" s="1"/>
  <c r="AD193" i="39"/>
  <c r="X193" i="39" s="1"/>
  <c r="Y193" i="39" s="1"/>
  <c r="Z193" i="39" s="1"/>
  <c r="R193" i="39" s="1"/>
  <c r="S193" i="39" s="1"/>
  <c r="AD174" i="39"/>
  <c r="X174" i="39" s="1"/>
  <c r="Y174" i="39" s="1"/>
  <c r="Z174" i="39" s="1"/>
  <c r="R174" i="39" s="1"/>
  <c r="S174" i="39" s="1"/>
  <c r="AD110" i="39"/>
  <c r="X110" i="39" s="1"/>
  <c r="Y110" i="39" s="1"/>
  <c r="Z110" i="39" s="1"/>
  <c r="R110" i="39" s="1"/>
  <c r="S110" i="39" s="1"/>
  <c r="AD100" i="39"/>
  <c r="X100" i="39" s="1"/>
  <c r="Y100" i="39" s="1"/>
  <c r="Z100" i="39" s="1"/>
  <c r="R100" i="39" s="1"/>
  <c r="S100" i="39" s="1"/>
  <c r="AD96" i="39"/>
  <c r="X96" i="39" s="1"/>
  <c r="Y96" i="39" s="1"/>
  <c r="Z96" i="39" s="1"/>
  <c r="R96" i="39" s="1"/>
  <c r="S96" i="39" s="1"/>
  <c r="AD92" i="39"/>
  <c r="X92" i="39" s="1"/>
  <c r="Y92" i="39" s="1"/>
  <c r="Z92" i="39" s="1"/>
  <c r="R92" i="39" s="1"/>
  <c r="S92" i="39" s="1"/>
  <c r="AD75" i="39"/>
  <c r="X75" i="39" s="1"/>
  <c r="Y75" i="39" s="1"/>
  <c r="Z75" i="39" s="1"/>
  <c r="R75" i="39" s="1"/>
  <c r="S75" i="39" s="1"/>
  <c r="AD51" i="39"/>
  <c r="X51" i="39" s="1"/>
  <c r="Y51" i="39" s="1"/>
  <c r="Z51" i="39" s="1"/>
  <c r="R51" i="39" s="1"/>
  <c r="S51" i="39" s="1"/>
  <c r="AD55" i="39"/>
  <c r="X55" i="39" s="1"/>
  <c r="AD59" i="39"/>
  <c r="X59" i="39" s="1"/>
  <c r="Y59" i="39" s="1"/>
  <c r="Z59" i="39" s="1"/>
  <c r="R59" i="39" s="1"/>
  <c r="S59" i="39" s="1"/>
  <c r="AD63" i="39"/>
  <c r="X63" i="39" s="1"/>
  <c r="AD67" i="39"/>
  <c r="X67" i="39" s="1"/>
  <c r="Y67" i="39" s="1"/>
  <c r="Z67" i="39" s="1"/>
  <c r="R67" i="39" s="1"/>
  <c r="S67" i="39" s="1"/>
  <c r="AD71" i="39"/>
  <c r="X71" i="39" s="1"/>
  <c r="AD47" i="39"/>
  <c r="X47" i="39" s="1"/>
  <c r="AD252" i="39"/>
  <c r="X252" i="39" s="1"/>
  <c r="Y252" i="39" s="1"/>
  <c r="Z252" i="39" s="1"/>
  <c r="R252" i="39" s="1"/>
  <c r="S252" i="39" s="1"/>
  <c r="AD233" i="39"/>
  <c r="X233" i="39" s="1"/>
  <c r="Y233" i="39" s="1"/>
  <c r="Z233" i="39" s="1"/>
  <c r="R233" i="39" s="1"/>
  <c r="AD229" i="39"/>
  <c r="X229" i="39" s="1"/>
  <c r="Y229" i="39" s="1"/>
  <c r="Z229" i="39" s="1"/>
  <c r="R229" i="39" s="1"/>
  <c r="AD226" i="39"/>
  <c r="X226" i="39" s="1"/>
  <c r="Y226" i="39" s="1"/>
  <c r="Z226" i="39" s="1"/>
  <c r="R226" i="39" s="1"/>
  <c r="S226" i="39" s="1"/>
  <c r="AD199" i="39"/>
  <c r="X199" i="39" s="1"/>
  <c r="Y199" i="39" s="1"/>
  <c r="Z199" i="39" s="1"/>
  <c r="R199" i="39" s="1"/>
  <c r="S199" i="39" s="1"/>
  <c r="AD196" i="39"/>
  <c r="X196" i="39" s="1"/>
  <c r="Y196" i="39" s="1"/>
  <c r="Z196" i="39" s="1"/>
  <c r="R196" i="39" s="1"/>
  <c r="AD173" i="39"/>
  <c r="X173" i="39" s="1"/>
  <c r="Y173" i="39" s="1"/>
  <c r="Z173" i="39" s="1"/>
  <c r="R173" i="39" s="1"/>
  <c r="S173" i="39" s="1"/>
  <c r="AD99" i="39"/>
  <c r="X99" i="39" s="1"/>
  <c r="Y99" i="39" s="1"/>
  <c r="Z99" i="39" s="1"/>
  <c r="R99" i="39" s="1"/>
  <c r="S99" i="39" s="1"/>
  <c r="AD48" i="39"/>
  <c r="X48" i="39" s="1"/>
  <c r="AD56" i="39"/>
  <c r="X56" i="39" s="1"/>
  <c r="AD68" i="39"/>
  <c r="X68" i="39" s="1"/>
  <c r="Y68" i="39" s="1"/>
  <c r="Z68" i="39" s="1"/>
  <c r="R68" i="39" s="1"/>
  <c r="S68" i="39" s="1"/>
  <c r="AD251" i="39"/>
  <c r="X251" i="39" s="1"/>
  <c r="Y251" i="39" s="1"/>
  <c r="Z251" i="39" s="1"/>
  <c r="R251" i="39" s="1"/>
  <c r="S251" i="39" s="1"/>
  <c r="AD232" i="39"/>
  <c r="X232" i="39" s="1"/>
  <c r="Y232" i="39" s="1"/>
  <c r="Z232" i="39" s="1"/>
  <c r="R232" i="39" s="1"/>
  <c r="S232" i="39" s="1"/>
  <c r="AD228" i="39"/>
  <c r="X228" i="39" s="1"/>
  <c r="Y228" i="39" s="1"/>
  <c r="Z228" i="39" s="1"/>
  <c r="R228" i="39" s="1"/>
  <c r="S228" i="39" s="1"/>
  <c r="AD195" i="39"/>
  <c r="X195" i="39" s="1"/>
  <c r="Y195" i="39" s="1"/>
  <c r="Z195" i="39" s="1"/>
  <c r="R195" i="39" s="1"/>
  <c r="S195" i="39" s="1"/>
  <c r="AD176" i="39"/>
  <c r="X176" i="39" s="1"/>
  <c r="Y176" i="39" s="1"/>
  <c r="AD112" i="39"/>
  <c r="X112" i="39" s="1"/>
  <c r="Y112" i="39" s="1"/>
  <c r="Z112" i="39" s="1"/>
  <c r="R112" i="39" s="1"/>
  <c r="S112" i="39" s="1"/>
  <c r="AD102" i="39"/>
  <c r="X102" i="39" s="1"/>
  <c r="Y102" i="39" s="1"/>
  <c r="Z102" i="39" s="1"/>
  <c r="R102" i="39" s="1"/>
  <c r="S102" i="39" s="1"/>
  <c r="AD98" i="39"/>
  <c r="X98" i="39" s="1"/>
  <c r="Y98" i="39" s="1"/>
  <c r="Z98" i="39" s="1"/>
  <c r="R98" i="39" s="1"/>
  <c r="S98" i="39" s="1"/>
  <c r="AD94" i="39"/>
  <c r="X94" i="39" s="1"/>
  <c r="Y94" i="39" s="1"/>
  <c r="Z94" i="39" s="1"/>
  <c r="R94" i="39" s="1"/>
  <c r="S94" i="39" s="1"/>
  <c r="AD90" i="39"/>
  <c r="X90" i="39" s="1"/>
  <c r="Y90" i="39" s="1"/>
  <c r="Z90" i="39" s="1"/>
  <c r="R90" i="39" s="1"/>
  <c r="S90" i="39" s="1"/>
  <c r="AD49" i="39"/>
  <c r="X49" i="39" s="1"/>
  <c r="AD53" i="39"/>
  <c r="X53" i="39" s="1"/>
  <c r="AD57" i="39"/>
  <c r="X57" i="39" s="1"/>
  <c r="AD61" i="39"/>
  <c r="X61" i="39" s="1"/>
  <c r="AD65" i="39"/>
  <c r="X65" i="39" s="1"/>
  <c r="Y65" i="39" s="1"/>
  <c r="Z65" i="39" s="1"/>
  <c r="R65" i="39" s="1"/>
  <c r="S65" i="39" s="1"/>
  <c r="AD69" i="39"/>
  <c r="X69" i="39" s="1"/>
  <c r="AD73" i="39"/>
  <c r="X73" i="39" s="1"/>
  <c r="AD254" i="39"/>
  <c r="X254" i="39" s="1"/>
  <c r="Y254" i="39" s="1"/>
  <c r="Z254" i="39" s="1"/>
  <c r="R254" i="39" s="1"/>
  <c r="S254" i="39" s="1"/>
  <c r="AD231" i="39"/>
  <c r="X231" i="39" s="1"/>
  <c r="Y231" i="39" s="1"/>
  <c r="Z231" i="39" s="1"/>
  <c r="R231" i="39" s="1"/>
  <c r="S231" i="39" s="1"/>
  <c r="AD227" i="39"/>
  <c r="X227" i="39" s="1"/>
  <c r="Y227" i="39" s="1"/>
  <c r="Z227" i="39" s="1"/>
  <c r="R227" i="39" s="1"/>
  <c r="S227" i="39" s="1"/>
  <c r="AD201" i="39"/>
  <c r="X201" i="39" s="1"/>
  <c r="Y201" i="39" s="1"/>
  <c r="Z201" i="39" s="1"/>
  <c r="R201" i="39" s="1"/>
  <c r="S201" i="39" s="1"/>
  <c r="AD198" i="39"/>
  <c r="X198" i="39" s="1"/>
  <c r="Y198" i="39" s="1"/>
  <c r="Z198" i="39" s="1"/>
  <c r="R198" i="39" s="1"/>
  <c r="S198" i="39" s="1"/>
  <c r="AD194" i="39"/>
  <c r="X194" i="39" s="1"/>
  <c r="Y194" i="39" s="1"/>
  <c r="Z194" i="39" s="1"/>
  <c r="R194" i="39" s="1"/>
  <c r="S194" i="39" s="1"/>
  <c r="AD175" i="39"/>
  <c r="X175" i="39" s="1"/>
  <c r="Y175" i="39" s="1"/>
  <c r="Z175" i="39" s="1"/>
  <c r="R175" i="39" s="1"/>
  <c r="S175" i="39" s="1"/>
  <c r="AD111" i="39"/>
  <c r="X111" i="39" s="1"/>
  <c r="Y111" i="39" s="1"/>
  <c r="Z111" i="39" s="1"/>
  <c r="R111" i="39" s="1"/>
  <c r="S111" i="39" s="1"/>
  <c r="AD101" i="39"/>
  <c r="X101" i="39" s="1"/>
  <c r="Y101" i="39" s="1"/>
  <c r="Z101" i="39" s="1"/>
  <c r="R101" i="39" s="1"/>
  <c r="S101" i="39" s="1"/>
  <c r="AD97" i="39"/>
  <c r="X97" i="39" s="1"/>
  <c r="Y97" i="39" s="1"/>
  <c r="Z97" i="39" s="1"/>
  <c r="R97" i="39" s="1"/>
  <c r="S97" i="39" s="1"/>
  <c r="AD93" i="39"/>
  <c r="X93" i="39" s="1"/>
  <c r="Y93" i="39" s="1"/>
  <c r="Z93" i="39" s="1"/>
  <c r="R93" i="39" s="1"/>
  <c r="S93" i="39" s="1"/>
  <c r="AD89" i="39"/>
  <c r="X89" i="39" s="1"/>
  <c r="Y89" i="39" s="1"/>
  <c r="Z89" i="39" s="1"/>
  <c r="R89" i="39" s="1"/>
  <c r="S89" i="39" s="1"/>
  <c r="AD50" i="39"/>
  <c r="X50" i="39" s="1"/>
  <c r="AD54" i="39"/>
  <c r="X54" i="39" s="1"/>
  <c r="AD58" i="39"/>
  <c r="X58" i="39" s="1"/>
  <c r="AD62" i="39"/>
  <c r="X62" i="39" s="1"/>
  <c r="AD66" i="39"/>
  <c r="X66" i="39" s="1"/>
  <c r="Y66" i="39" s="1"/>
  <c r="Z66" i="39" s="1"/>
  <c r="R66" i="39" s="1"/>
  <c r="S66" i="39" s="1"/>
  <c r="AD70" i="39"/>
  <c r="X70" i="39" s="1"/>
  <c r="AD74" i="39"/>
  <c r="X74" i="39" s="1"/>
  <c r="AD179" i="39"/>
  <c r="X179" i="39" s="1"/>
  <c r="Y179" i="39" s="1"/>
  <c r="Z179" i="39" s="1"/>
  <c r="R179" i="39" s="1"/>
  <c r="S179" i="39" s="1"/>
  <c r="AD109" i="39"/>
  <c r="X109" i="39" s="1"/>
  <c r="Y109" i="39" s="1"/>
  <c r="Z109" i="39" s="1"/>
  <c r="R109" i="39" s="1"/>
  <c r="S109" i="39" s="1"/>
  <c r="AD95" i="39"/>
  <c r="X95" i="39" s="1"/>
  <c r="Y95" i="39" s="1"/>
  <c r="Z95" i="39" s="1"/>
  <c r="R95" i="39" s="1"/>
  <c r="S95" i="39" s="1"/>
  <c r="AD91" i="39"/>
  <c r="X91" i="39" s="1"/>
  <c r="Y91" i="39" s="1"/>
  <c r="Z91" i="39" s="1"/>
  <c r="R91" i="39" s="1"/>
  <c r="S91" i="39" s="1"/>
  <c r="AD52" i="39"/>
  <c r="X52" i="39" s="1"/>
  <c r="Y52" i="39" s="1"/>
  <c r="Z52" i="39" s="1"/>
  <c r="R52" i="39" s="1"/>
  <c r="S52" i="39" s="1"/>
  <c r="AD60" i="39"/>
  <c r="X60" i="39" s="1"/>
  <c r="Y60" i="39" s="1"/>
  <c r="Z60" i="39" s="1"/>
  <c r="R60" i="39" s="1"/>
  <c r="S60" i="39" s="1"/>
  <c r="AD64" i="39"/>
  <c r="X64" i="39" s="1"/>
  <c r="Y64" i="39" s="1"/>
  <c r="Z64" i="39" s="1"/>
  <c r="R64" i="39" s="1"/>
  <c r="S64" i="39" s="1"/>
  <c r="AD72" i="39"/>
  <c r="X72" i="39" s="1"/>
  <c r="H126" i="41"/>
  <c r="I278" i="36" s="1"/>
  <c r="I281" i="36"/>
  <c r="O193" i="39"/>
  <c r="O231" i="39"/>
  <c r="O200" i="39"/>
  <c r="O175" i="39"/>
  <c r="O199" i="39"/>
  <c r="O95" i="39"/>
  <c r="O226" i="39"/>
  <c r="O253" i="39"/>
  <c r="O201" i="39"/>
  <c r="O254" i="39"/>
  <c r="O230" i="39"/>
  <c r="O91" i="39"/>
  <c r="O92" i="39"/>
  <c r="O229" i="39"/>
  <c r="O89" i="39"/>
  <c r="O233" i="39"/>
  <c r="O90" i="39"/>
  <c r="O99" i="39"/>
  <c r="O227" i="39"/>
  <c r="O112" i="39"/>
  <c r="O232" i="39"/>
  <c r="O94" i="39"/>
  <c r="O195" i="39"/>
  <c r="O251" i="39"/>
  <c r="O98" i="39"/>
  <c r="O109" i="39"/>
  <c r="O179" i="39"/>
  <c r="O100" i="39"/>
  <c r="O96" i="39"/>
  <c r="O111" i="39"/>
  <c r="O198" i="39"/>
  <c r="O228" i="39"/>
  <c r="O110" i="39"/>
  <c r="O194" i="39"/>
  <c r="O93" i="39"/>
  <c r="O102" i="39"/>
  <c r="O173" i="39"/>
  <c r="O252" i="39"/>
  <c r="O97" i="39"/>
  <c r="O101" i="39"/>
  <c r="O174" i="39"/>
  <c r="O176" i="39"/>
  <c r="O196" i="39"/>
  <c r="O64" i="39"/>
  <c r="O65" i="39"/>
  <c r="G41" i="28"/>
  <c r="X36" i="36"/>
  <c r="A36" i="36"/>
  <c r="X77" i="36"/>
  <c r="K38" i="28"/>
  <c r="L562" i="30"/>
  <c r="P562" i="30" s="1"/>
  <c r="L615" i="30"/>
  <c r="P615" i="30" s="1"/>
  <c r="L25" i="30"/>
  <c r="P25" i="30" s="1"/>
  <c r="L79" i="30"/>
  <c r="P79" i="30" s="1"/>
  <c r="L124" i="30"/>
  <c r="P124" i="30" s="1"/>
  <c r="L218" i="30"/>
  <c r="P218" i="30" s="1"/>
  <c r="L268" i="30"/>
  <c r="P268" i="30" s="1"/>
  <c r="L313" i="30"/>
  <c r="P313" i="30" s="1"/>
  <c r="L170" i="30"/>
  <c r="P170" i="30" s="1"/>
  <c r="L249" i="30"/>
  <c r="P249" i="30" s="1"/>
  <c r="L490" i="30"/>
  <c r="P490" i="30" s="1"/>
  <c r="L260" i="30"/>
  <c r="P260" i="30" s="1"/>
  <c r="L497" i="30"/>
  <c r="P497" i="30" s="1"/>
  <c r="L390" i="30"/>
  <c r="P390" i="30" s="1"/>
  <c r="L600" i="30"/>
  <c r="P600" i="30" s="1"/>
  <c r="L616" i="30"/>
  <c r="P616" i="30" s="1"/>
  <c r="L657" i="30"/>
  <c r="P657" i="30" s="1"/>
  <c r="L551" i="30"/>
  <c r="P551" i="30" s="1"/>
  <c r="L593" i="30"/>
  <c r="P593" i="30" s="1"/>
  <c r="L26" i="30"/>
  <c r="P26" i="30" s="1"/>
  <c r="L157" i="30"/>
  <c r="P157" i="30" s="1"/>
  <c r="L639" i="30"/>
  <c r="P639" i="30" s="1"/>
  <c r="L649" i="30"/>
  <c r="P649" i="30" s="1"/>
  <c r="L185" i="30"/>
  <c r="P185" i="30" s="1"/>
  <c r="L560" i="30"/>
  <c r="P560" i="30" s="1"/>
  <c r="L27" i="30"/>
  <c r="P27" i="30" s="1"/>
  <c r="L300" i="30"/>
  <c r="P300" i="30" s="1"/>
  <c r="L607" i="30"/>
  <c r="P607" i="30" s="1"/>
  <c r="L219" i="30"/>
  <c r="P219" i="30" s="1"/>
  <c r="L391" i="30"/>
  <c r="P391" i="30" s="1"/>
  <c r="O60" i="39"/>
  <c r="O68" i="39"/>
  <c r="O67" i="39"/>
  <c r="O75" i="39"/>
  <c r="O280" i="39"/>
  <c r="O268" i="39"/>
  <c r="O264" i="39"/>
  <c r="O69" i="39"/>
  <c r="O267" i="39"/>
  <c r="O283" i="39"/>
  <c r="O73" i="39"/>
  <c r="O275" i="39"/>
  <c r="O59" i="39"/>
  <c r="O66" i="39"/>
  <c r="O51" i="39"/>
  <c r="O52" i="39"/>
  <c r="O49" i="39"/>
  <c r="O48" i="39"/>
  <c r="O47" i="39"/>
  <c r="O53" i="39"/>
  <c r="O63" i="39"/>
  <c r="O266" i="39"/>
  <c r="O57" i="39"/>
  <c r="O270" i="39"/>
  <c r="L640" i="30"/>
  <c r="P640" i="30" s="1"/>
  <c r="L647" i="30"/>
  <c r="P647" i="30" s="1"/>
  <c r="L576" i="30"/>
  <c r="P576" i="30" s="1"/>
  <c r="L475" i="30"/>
  <c r="P475" i="30" s="1"/>
  <c r="L399" i="30"/>
  <c r="P399" i="30" s="1"/>
  <c r="L406" i="30"/>
  <c r="P406" i="30" s="1"/>
  <c r="L348" i="30"/>
  <c r="P348" i="30" s="1"/>
  <c r="L312" i="30"/>
  <c r="P312" i="30" s="1"/>
  <c r="L255" i="30"/>
  <c r="P255" i="30" s="1"/>
  <c r="L149" i="30"/>
  <c r="P149" i="30" s="1"/>
  <c r="L137" i="30"/>
  <c r="P137" i="30" s="1"/>
  <c r="L135" i="30"/>
  <c r="P135" i="30" s="1"/>
  <c r="L141" i="30"/>
  <c r="P141" i="30" s="1"/>
  <c r="L72" i="30"/>
  <c r="P72" i="30" s="1"/>
  <c r="L59" i="30"/>
  <c r="P59" i="30" s="1"/>
  <c r="L40" i="30"/>
  <c r="P40" i="30" s="1"/>
  <c r="O278" i="39"/>
  <c r="L449" i="30"/>
  <c r="P449" i="30" s="1"/>
  <c r="L561" i="30"/>
  <c r="P561" i="30" s="1"/>
  <c r="L558" i="30"/>
  <c r="P558" i="30" s="1"/>
  <c r="L535" i="30"/>
  <c r="P535" i="30" s="1"/>
  <c r="L172" i="30"/>
  <c r="P172" i="30" s="1"/>
  <c r="L364" i="30"/>
  <c r="P364" i="30" s="1"/>
  <c r="L491" i="30"/>
  <c r="P491" i="30" s="1"/>
  <c r="L183" i="30"/>
  <c r="P183" i="30" s="1"/>
  <c r="L165" i="30"/>
  <c r="P165" i="30" s="1"/>
  <c r="L599" i="30"/>
  <c r="P599" i="30" s="1"/>
  <c r="L85" i="30"/>
  <c r="P85" i="30" s="1"/>
  <c r="L273" i="30"/>
  <c r="P273" i="30" s="1"/>
  <c r="L462" i="30"/>
  <c r="P462" i="30" s="1"/>
  <c r="L481" i="30"/>
  <c r="P481" i="30" s="1"/>
  <c r="L512" i="30"/>
  <c r="P512" i="30" s="1"/>
  <c r="L526" i="30"/>
  <c r="P526" i="30" s="1"/>
  <c r="L253" i="30"/>
  <c r="P253" i="30" s="1"/>
  <c r="L422" i="30"/>
  <c r="P422" i="30" s="1"/>
  <c r="L435" i="30"/>
  <c r="P435" i="30" s="1"/>
  <c r="L349" i="30"/>
  <c r="P349" i="30" s="1"/>
  <c r="L424" i="30"/>
  <c r="P424" i="30" s="1"/>
  <c r="L476" i="30"/>
  <c r="P476" i="30" s="1"/>
  <c r="L389" i="30"/>
  <c r="P389" i="30" s="1"/>
  <c r="L493" i="30"/>
  <c r="P493" i="30" s="1"/>
  <c r="L547" i="30"/>
  <c r="P547" i="30" s="1"/>
  <c r="L588" i="30"/>
  <c r="P588" i="30" s="1"/>
  <c r="L583" i="30"/>
  <c r="P583" i="30" s="1"/>
  <c r="L587" i="30"/>
  <c r="P587" i="30" s="1"/>
  <c r="L546" i="30"/>
  <c r="P546" i="30" s="1"/>
  <c r="O55" i="39"/>
  <c r="O71" i="39"/>
  <c r="L106" i="30"/>
  <c r="P106" i="30" s="1"/>
  <c r="L296" i="30"/>
  <c r="P296" i="30" s="1"/>
  <c r="L310" i="30"/>
  <c r="P310" i="30" s="1"/>
  <c r="L608" i="30"/>
  <c r="P608" i="30" s="1"/>
  <c r="L245" i="30"/>
  <c r="P245" i="30" s="1"/>
  <c r="L39" i="30"/>
  <c r="P39" i="30" s="1"/>
  <c r="L658" i="30"/>
  <c r="P658" i="30" s="1"/>
  <c r="O61" i="39"/>
  <c r="L220" i="30"/>
  <c r="P220" i="30" s="1"/>
  <c r="L302" i="30"/>
  <c r="P302" i="30" s="1"/>
  <c r="L311" i="30"/>
  <c r="P311" i="30" s="1"/>
  <c r="L443" i="30"/>
  <c r="P443" i="30" s="1"/>
  <c r="L365" i="30"/>
  <c r="P365" i="30" s="1"/>
  <c r="L411" i="30"/>
  <c r="P411" i="30" s="1"/>
  <c r="L578" i="30"/>
  <c r="P578" i="30" s="1"/>
  <c r="L553" i="30"/>
  <c r="P553" i="30" s="1"/>
  <c r="L459" i="30"/>
  <c r="P459" i="30" s="1"/>
  <c r="L70" i="30"/>
  <c r="P70" i="30" s="1"/>
  <c r="L159" i="30"/>
  <c r="P159" i="30" s="1"/>
  <c r="L248" i="30"/>
  <c r="P248" i="30" s="1"/>
  <c r="L173" i="30"/>
  <c r="P173" i="30" s="1"/>
  <c r="L552" i="30"/>
  <c r="P552" i="30" s="1"/>
  <c r="L184" i="30"/>
  <c r="P184" i="30" s="1"/>
  <c r="L351" i="30"/>
  <c r="P351" i="30" s="1"/>
  <c r="L505" i="30"/>
  <c r="P505" i="30" s="1"/>
  <c r="L350" i="30"/>
  <c r="P350" i="30" s="1"/>
  <c r="L419" i="30"/>
  <c r="P419" i="30" s="1"/>
  <c r="L473" i="30"/>
  <c r="P473" i="30" s="1"/>
  <c r="A58" i="30"/>
  <c r="K58" i="30"/>
  <c r="J58" i="30"/>
  <c r="I58" i="30"/>
  <c r="M58" i="30"/>
  <c r="O58" i="30" s="1"/>
  <c r="K221" i="30"/>
  <c r="J221" i="30"/>
  <c r="M221" i="30"/>
  <c r="O221" i="30" s="1"/>
  <c r="I221" i="30"/>
  <c r="L20" i="30"/>
  <c r="P20" i="30" s="1"/>
  <c r="L71" i="30"/>
  <c r="P71" i="30" s="1"/>
  <c r="L75" i="30"/>
  <c r="P75" i="30" s="1"/>
  <c r="L86" i="30"/>
  <c r="P86" i="30" s="1"/>
  <c r="L103" i="30"/>
  <c r="P103" i="30" s="1"/>
  <c r="L107" i="30"/>
  <c r="P107" i="30" s="1"/>
  <c r="L111" i="30"/>
  <c r="P111" i="30" s="1"/>
  <c r="L118" i="30"/>
  <c r="P118" i="30" s="1"/>
  <c r="L122" i="30"/>
  <c r="P122" i="30" s="1"/>
  <c r="L204" i="30"/>
  <c r="P204" i="30" s="1"/>
  <c r="L634" i="30"/>
  <c r="P634" i="30" s="1"/>
  <c r="L638" i="30"/>
  <c r="P638" i="30" s="1"/>
  <c r="L642" i="30"/>
  <c r="P642" i="30" s="1"/>
  <c r="L363" i="30"/>
  <c r="P363" i="30" s="1"/>
  <c r="L105" i="30"/>
  <c r="P105" i="30" s="1"/>
  <c r="L537" i="30"/>
  <c r="P537" i="30" s="1"/>
  <c r="L186" i="30"/>
  <c r="P186" i="30" s="1"/>
  <c r="L54" i="30"/>
  <c r="P54" i="30" s="1"/>
  <c r="L171" i="30"/>
  <c r="P171" i="30" s="1"/>
  <c r="L400" i="30"/>
  <c r="P400" i="30" s="1"/>
  <c r="L522" i="30"/>
  <c r="P522" i="30" s="1"/>
  <c r="L237" i="30"/>
  <c r="P237" i="30" s="1"/>
  <c r="L366" i="30"/>
  <c r="P366" i="30" s="1"/>
  <c r="L407" i="30"/>
  <c r="P407" i="30" s="1"/>
  <c r="L460" i="30"/>
  <c r="P460" i="30" s="1"/>
  <c r="L402" i="30"/>
  <c r="P402" i="30" s="1"/>
  <c r="L431" i="30"/>
  <c r="P431" i="30" s="1"/>
  <c r="L536" i="30"/>
  <c r="P536" i="30" s="1"/>
  <c r="L584" i="30"/>
  <c r="P584" i="30" s="1"/>
  <c r="L623" i="30"/>
  <c r="P623" i="30" s="1"/>
  <c r="L581" i="30"/>
  <c r="P581" i="30" s="1"/>
  <c r="L585" i="30"/>
  <c r="P585" i="30" s="1"/>
  <c r="L520" i="30"/>
  <c r="P520" i="30" s="1"/>
  <c r="L573" i="30"/>
  <c r="P573" i="30" s="1"/>
  <c r="L392" i="30"/>
  <c r="P392" i="30" s="1"/>
  <c r="A24" i="30"/>
  <c r="I18" i="73" s="1"/>
  <c r="BI18" i="73" s="1"/>
  <c r="I24" i="30"/>
  <c r="K24" i="30"/>
  <c r="M24" i="30"/>
  <c r="O24" i="30" s="1"/>
  <c r="J24" i="30"/>
  <c r="L53" i="30"/>
  <c r="P53" i="30" s="1"/>
  <c r="L73" i="30"/>
  <c r="P73" i="30" s="1"/>
  <c r="L158" i="30"/>
  <c r="P158" i="30" s="1"/>
  <c r="L197" i="30"/>
  <c r="P197" i="30" s="1"/>
  <c r="L287" i="30"/>
  <c r="P287" i="30" s="1"/>
  <c r="L80" i="30"/>
  <c r="P80" i="30" s="1"/>
  <c r="L117" i="30"/>
  <c r="P117" i="30" s="1"/>
  <c r="L133" i="30"/>
  <c r="P133" i="30" s="1"/>
  <c r="L151" i="30"/>
  <c r="P151" i="30" s="1"/>
  <c r="L198" i="30"/>
  <c r="P198" i="30" s="1"/>
  <c r="L447" i="30"/>
  <c r="P447" i="30" s="1"/>
  <c r="A52" i="30"/>
  <c r="K52" i="30"/>
  <c r="I52" i="30"/>
  <c r="J52" i="30"/>
  <c r="M52" i="30"/>
  <c r="O52" i="30" s="1"/>
  <c r="L134" i="30"/>
  <c r="P134" i="30" s="1"/>
  <c r="L140" i="30"/>
  <c r="P140" i="30" s="1"/>
  <c r="L144" i="30"/>
  <c r="P144" i="30" s="1"/>
  <c r="L250" i="30"/>
  <c r="P250" i="30" s="1"/>
  <c r="L298" i="30"/>
  <c r="P298" i="30" s="1"/>
  <c r="L453" i="30"/>
  <c r="P453" i="30" s="1"/>
  <c r="L648" i="30"/>
  <c r="P648" i="30" s="1"/>
  <c r="L286" i="30"/>
  <c r="P286" i="30" s="1"/>
  <c r="L115" i="30"/>
  <c r="P115" i="30" s="1"/>
  <c r="L142" i="30"/>
  <c r="P142" i="30" s="1"/>
  <c r="L242" i="30"/>
  <c r="P242" i="30" s="1"/>
  <c r="L376" i="30"/>
  <c r="P376" i="30" s="1"/>
  <c r="L254" i="30"/>
  <c r="P254" i="30" s="1"/>
  <c r="L169" i="30"/>
  <c r="P169" i="30" s="1"/>
  <c r="L174" i="30"/>
  <c r="P174" i="30" s="1"/>
  <c r="L240" i="30"/>
  <c r="P240" i="30" s="1"/>
  <c r="L412" i="30"/>
  <c r="P412" i="30" s="1"/>
  <c r="L474" i="30"/>
  <c r="P474" i="30" s="1"/>
  <c r="L180" i="30"/>
  <c r="P180" i="30" s="1"/>
  <c r="L274" i="30"/>
  <c r="P274" i="30" s="1"/>
  <c r="L429" i="30"/>
  <c r="P429" i="30" s="1"/>
  <c r="L471" i="30"/>
  <c r="P471" i="30" s="1"/>
  <c r="L494" i="30"/>
  <c r="P494" i="30" s="1"/>
  <c r="L513" i="30"/>
  <c r="P513" i="30" s="1"/>
  <c r="L527" i="30"/>
  <c r="P527" i="30" s="1"/>
  <c r="L598" i="30"/>
  <c r="P598" i="30" s="1"/>
  <c r="L665" i="30"/>
  <c r="P665" i="30" s="1"/>
  <c r="L272" i="30"/>
  <c r="P272" i="30" s="1"/>
  <c r="L352" i="30"/>
  <c r="P352" i="30" s="1"/>
  <c r="L405" i="30"/>
  <c r="P405" i="30" s="1"/>
  <c r="L423" i="30"/>
  <c r="P423" i="30" s="1"/>
  <c r="L523" i="30"/>
  <c r="P523" i="30" s="1"/>
  <c r="L614" i="30"/>
  <c r="P614" i="30" s="1"/>
  <c r="L388" i="30"/>
  <c r="P388" i="30" s="1"/>
  <c r="L418" i="30"/>
  <c r="P418" i="30" s="1"/>
  <c r="L472" i="30"/>
  <c r="P472" i="30" s="1"/>
  <c r="L492" i="30"/>
  <c r="P492" i="30" s="1"/>
  <c r="L528" i="30"/>
  <c r="P528" i="30" s="1"/>
  <c r="L346" i="30"/>
  <c r="P346" i="30" s="1"/>
  <c r="L369" i="30"/>
  <c r="P369" i="30" s="1"/>
  <c r="L410" i="30"/>
  <c r="P410" i="30" s="1"/>
  <c r="L461" i="30"/>
  <c r="P461" i="30" s="1"/>
  <c r="L519" i="30"/>
  <c r="P519" i="30" s="1"/>
  <c r="L582" i="30"/>
  <c r="P582" i="30" s="1"/>
  <c r="L591" i="30"/>
  <c r="P591" i="30" s="1"/>
  <c r="L622" i="30"/>
  <c r="P622" i="30" s="1"/>
  <c r="L601" i="30"/>
  <c r="P601" i="30" s="1"/>
  <c r="L621" i="30"/>
  <c r="P621" i="30" s="1"/>
  <c r="L292" i="30"/>
  <c r="P292" i="30" s="1"/>
  <c r="O54" i="39"/>
  <c r="O58" i="39"/>
  <c r="O70" i="39"/>
  <c r="O74" i="39"/>
  <c r="L119" i="30"/>
  <c r="P119" i="30" s="1"/>
  <c r="L267" i="30"/>
  <c r="P267" i="30" s="1"/>
  <c r="L285" i="30"/>
  <c r="P285" i="30" s="1"/>
  <c r="L299" i="30"/>
  <c r="P299" i="30" s="1"/>
  <c r="L635" i="30"/>
  <c r="P635" i="30" s="1"/>
  <c r="M207" i="30"/>
  <c r="O207" i="30" s="1"/>
  <c r="K207" i="30"/>
  <c r="I207" i="30"/>
  <c r="J207" i="30"/>
  <c r="L666" i="30"/>
  <c r="P666" i="30" s="1"/>
  <c r="L577" i="30"/>
  <c r="P577" i="30" s="1"/>
  <c r="L44" i="30"/>
  <c r="P44" i="30" s="1"/>
  <c r="L244" i="30"/>
  <c r="P244" i="30" s="1"/>
  <c r="L284" i="30"/>
  <c r="P284" i="30" s="1"/>
  <c r="L293" i="30"/>
  <c r="P293" i="30" s="1"/>
  <c r="L315" i="30"/>
  <c r="P315" i="30" s="1"/>
  <c r="L319" i="30"/>
  <c r="P319" i="30" s="1"/>
  <c r="L448" i="30"/>
  <c r="P448" i="30" s="1"/>
  <c r="L46" i="30"/>
  <c r="P46" i="30" s="1"/>
  <c r="L150" i="30"/>
  <c r="P150" i="30" s="1"/>
  <c r="L295" i="30"/>
  <c r="P295" i="30" s="1"/>
  <c r="L446" i="30"/>
  <c r="P446" i="30" s="1"/>
  <c r="L650" i="30"/>
  <c r="P650" i="30" s="1"/>
  <c r="L559" i="30"/>
  <c r="P559" i="30" s="1"/>
  <c r="L61" i="30"/>
  <c r="P61" i="30" s="1"/>
  <c r="L181" i="30"/>
  <c r="P181" i="30" s="1"/>
  <c r="L426" i="30"/>
  <c r="P426" i="30" s="1"/>
  <c r="L387" i="30"/>
  <c r="P387" i="30" s="1"/>
  <c r="L166" i="30"/>
  <c r="P166" i="30" s="1"/>
  <c r="L187" i="30"/>
  <c r="P187" i="30" s="1"/>
  <c r="L182" i="30"/>
  <c r="P182" i="30" s="1"/>
  <c r="L60" i="30"/>
  <c r="P60" i="30" s="1"/>
  <c r="L167" i="30"/>
  <c r="P167" i="30" s="1"/>
  <c r="L347" i="30"/>
  <c r="P347" i="30" s="1"/>
  <c r="L271" i="30"/>
  <c r="P271" i="30" s="1"/>
  <c r="L370" i="30"/>
  <c r="P370" i="30" s="1"/>
  <c r="L480" i="30"/>
  <c r="P480" i="30" s="1"/>
  <c r="L261" i="30"/>
  <c r="P261" i="30" s="1"/>
  <c r="L283" i="30"/>
  <c r="P283" i="30" s="1"/>
  <c r="L434" i="30"/>
  <c r="P434" i="30" s="1"/>
  <c r="L362" i="30"/>
  <c r="P362" i="30" s="1"/>
  <c r="L401" i="30"/>
  <c r="P401" i="30" s="1"/>
  <c r="L430" i="30"/>
  <c r="P430" i="30" s="1"/>
  <c r="L482" i="30"/>
  <c r="P482" i="30" s="1"/>
  <c r="L571" i="30"/>
  <c r="P571" i="30" s="1"/>
  <c r="L398" i="30"/>
  <c r="P398" i="30" s="1"/>
  <c r="L425" i="30"/>
  <c r="P425" i="30" s="1"/>
  <c r="L479" i="30"/>
  <c r="P479" i="30" s="1"/>
  <c r="L511" i="30"/>
  <c r="P511" i="30" s="1"/>
  <c r="L521" i="30"/>
  <c r="P521" i="30" s="1"/>
  <c r="L586" i="30"/>
  <c r="P586" i="30" s="1"/>
  <c r="L602" i="30"/>
  <c r="P602" i="30" s="1"/>
  <c r="L572" i="30"/>
  <c r="P572" i="30" s="1"/>
  <c r="L592" i="30"/>
  <c r="P592" i="30" s="1"/>
  <c r="O56" i="39"/>
  <c r="O62" i="39"/>
  <c r="O72" i="39"/>
  <c r="L613" i="30"/>
  <c r="P613" i="30" s="1"/>
  <c r="L664" i="30"/>
  <c r="P664" i="30" s="1"/>
  <c r="L19" i="30"/>
  <c r="P19" i="30" s="1"/>
  <c r="L74" i="30"/>
  <c r="P74" i="30" s="1"/>
  <c r="L121" i="30"/>
  <c r="P121" i="30" s="1"/>
  <c r="L143" i="30"/>
  <c r="P143" i="30" s="1"/>
  <c r="L301" i="30"/>
  <c r="P301" i="30" s="1"/>
  <c r="L314" i="30"/>
  <c r="P314" i="30" s="1"/>
  <c r="L377" i="30"/>
  <c r="P377" i="30" s="1"/>
  <c r="L441" i="30"/>
  <c r="P441" i="30" s="1"/>
  <c r="L452" i="30"/>
  <c r="P452" i="30" s="1"/>
  <c r="O269" i="39"/>
  <c r="L297" i="30"/>
  <c r="P297" i="30" s="1"/>
  <c r="L116" i="30"/>
  <c r="P116" i="30" s="1"/>
  <c r="L45" i="30"/>
  <c r="P45" i="30" s="1"/>
  <c r="L87" i="30"/>
  <c r="P87" i="30" s="1"/>
  <c r="L104" i="30"/>
  <c r="P104" i="30" s="1"/>
  <c r="L108" i="30"/>
  <c r="P108" i="30" s="1"/>
  <c r="L205" i="30"/>
  <c r="P205" i="30" s="1"/>
  <c r="L246" i="30"/>
  <c r="P246" i="30" s="1"/>
  <c r="L308" i="30"/>
  <c r="P308" i="30" s="1"/>
  <c r="L444" i="30"/>
  <c r="P444" i="30" s="1"/>
  <c r="L663" i="30"/>
  <c r="P663" i="30" s="1"/>
  <c r="L41" i="30"/>
  <c r="P41" i="30" s="1"/>
  <c r="L120" i="30"/>
  <c r="P120" i="30" s="1"/>
  <c r="L317" i="30"/>
  <c r="P317" i="30" s="1"/>
  <c r="L76" i="30"/>
  <c r="P76" i="30" s="1"/>
  <c r="L632" i="30"/>
  <c r="P632" i="30" s="1"/>
  <c r="L655" i="30"/>
  <c r="P655" i="30" s="1"/>
  <c r="L656" i="30"/>
  <c r="P656" i="30" s="1"/>
  <c r="L102" i="30"/>
  <c r="P102" i="30" s="1"/>
  <c r="L110" i="30"/>
  <c r="P110" i="30" s="1"/>
  <c r="O50" i="39"/>
  <c r="O265" i="39"/>
  <c r="O279" i="39"/>
  <c r="L78" i="30"/>
  <c r="P78" i="30" s="1"/>
  <c r="L112" i="30"/>
  <c r="P112" i="30" s="1"/>
  <c r="L123" i="30"/>
  <c r="P123" i="30" s="1"/>
  <c r="L241" i="30"/>
  <c r="P241" i="30" s="1"/>
  <c r="L294" i="30"/>
  <c r="P294" i="30" s="1"/>
  <c r="L316" i="30"/>
  <c r="P316" i="30" s="1"/>
  <c r="L643" i="30"/>
  <c r="P643" i="30" s="1"/>
  <c r="L88" i="30"/>
  <c r="P88" i="30" s="1"/>
  <c r="L109" i="30"/>
  <c r="P109" i="30" s="1"/>
  <c r="L136" i="30"/>
  <c r="P136" i="30" s="1"/>
  <c r="L247" i="30"/>
  <c r="P247" i="30" s="1"/>
  <c r="L309" i="30"/>
  <c r="P309" i="30" s="1"/>
  <c r="L440" i="30"/>
  <c r="P440" i="30" s="1"/>
  <c r="L451" i="30"/>
  <c r="P451" i="30" s="1"/>
  <c r="L633" i="30"/>
  <c r="P633" i="30" s="1"/>
  <c r="L243" i="30"/>
  <c r="P243" i="30" s="1"/>
  <c r="L282" i="30"/>
  <c r="P282" i="30" s="1"/>
  <c r="L318" i="30"/>
  <c r="P318" i="30" s="1"/>
  <c r="L641" i="30"/>
  <c r="P641" i="30" s="1"/>
  <c r="N75" i="36"/>
  <c r="R75" i="36" s="1"/>
  <c r="U75" i="36" s="1"/>
  <c r="N217" i="36"/>
  <c r="R217" i="36" s="1"/>
  <c r="U217" i="36" s="1"/>
  <c r="N244" i="36"/>
  <c r="R244" i="36" s="1"/>
  <c r="U244" i="36" s="1"/>
  <c r="N32" i="36"/>
  <c r="R32" i="36" s="1"/>
  <c r="U32" i="36" s="1"/>
  <c r="N72" i="36"/>
  <c r="R72" i="36" s="1"/>
  <c r="U72" i="36" s="1"/>
  <c r="N30" i="36"/>
  <c r="R30" i="36" s="1"/>
  <c r="U30" i="36" s="1"/>
  <c r="N222" i="36"/>
  <c r="R222" i="36" s="1"/>
  <c r="U222" i="36" s="1"/>
  <c r="N170" i="36"/>
  <c r="R170" i="36" s="1"/>
  <c r="U170" i="36" s="1"/>
  <c r="N221" i="36"/>
  <c r="R221" i="36" s="1"/>
  <c r="U221" i="36" s="1"/>
  <c r="N169" i="36"/>
  <c r="R169" i="36" s="1"/>
  <c r="U169" i="36" s="1"/>
  <c r="N166" i="36"/>
  <c r="R166" i="36" s="1"/>
  <c r="U166" i="36" s="1"/>
  <c r="N174" i="36"/>
  <c r="S174" i="36" s="1"/>
  <c r="N74" i="36"/>
  <c r="R74" i="36" s="1"/>
  <c r="U74" i="36" s="1"/>
  <c r="N33" i="36"/>
  <c r="R33" i="36" s="1"/>
  <c r="U33" i="36" s="1"/>
  <c r="N31" i="36"/>
  <c r="R31" i="36" s="1"/>
  <c r="U31" i="36" s="1"/>
  <c r="N70" i="36"/>
  <c r="R70" i="36" s="1"/>
  <c r="U70" i="36" s="1"/>
  <c r="N218" i="36"/>
  <c r="R218" i="36" s="1"/>
  <c r="U218" i="36" s="1"/>
  <c r="N20" i="36"/>
  <c r="S20" i="36" s="1"/>
  <c r="N184" i="36"/>
  <c r="N19" i="36"/>
  <c r="N182" i="36"/>
  <c r="N181" i="36"/>
  <c r="L189" i="36"/>
  <c r="L192" i="36" s="1"/>
  <c r="N34" i="36"/>
  <c r="N71" i="36"/>
  <c r="N29" i="36"/>
  <c r="N165" i="36"/>
  <c r="N216" i="36"/>
  <c r="N220" i="36"/>
  <c r="N168" i="36"/>
  <c r="N68" i="36"/>
  <c r="N23" i="36"/>
  <c r="N22" i="36"/>
  <c r="N21" i="36"/>
  <c r="N177" i="36"/>
  <c r="N183" i="36"/>
  <c r="N175" i="36"/>
  <c r="L76" i="36"/>
  <c r="K76" i="36"/>
  <c r="P76" i="36"/>
  <c r="M76" i="36"/>
  <c r="M35" i="36"/>
  <c r="L35" i="36"/>
  <c r="K35" i="36"/>
  <c r="P35" i="36"/>
  <c r="N219" i="36"/>
  <c r="N28" i="36"/>
  <c r="N176" i="36"/>
  <c r="N243" i="36"/>
  <c r="N73" i="36"/>
  <c r="N69" i="36"/>
  <c r="N167" i="36"/>
  <c r="N164" i="36"/>
  <c r="N178" i="36"/>
  <c r="N245" i="36"/>
  <c r="N179" i="36"/>
  <c r="D36" i="36"/>
  <c r="E36" i="36" s="1"/>
  <c r="D77" i="36"/>
  <c r="E77" i="36" s="1"/>
  <c r="AC42" i="28"/>
  <c r="I42" i="28"/>
  <c r="D42" i="28"/>
  <c r="A42" i="28" s="1"/>
  <c r="C297" i="39"/>
  <c r="C300" i="39" s="1"/>
  <c r="K11" i="28"/>
  <c r="H136" i="41"/>
  <c r="I287" i="36" s="1"/>
  <c r="H288" i="36"/>
  <c r="N18" i="36"/>
  <c r="H155" i="41"/>
  <c r="I305" i="36" s="1"/>
  <c r="H306" i="36"/>
  <c r="H38" i="28"/>
  <c r="H147" i="41"/>
  <c r="I297" i="36" s="1"/>
  <c r="H298" i="36"/>
  <c r="H156" i="41"/>
  <c r="I306" i="36" s="1"/>
  <c r="H307" i="36"/>
  <c r="H146" i="41"/>
  <c r="I296" i="36" s="1"/>
  <c r="H297" i="36"/>
  <c r="B188" i="41"/>
  <c r="E20" i="62"/>
  <c r="A207" i="30"/>
  <c r="A221" i="30"/>
  <c r="G38" i="28"/>
  <c r="I38" i="28"/>
  <c r="F258" i="36"/>
  <c r="G128" i="28"/>
  <c r="B14" i="41"/>
  <c r="G11" i="28"/>
  <c r="C37" i="36"/>
  <c r="G37" i="36" s="1"/>
  <c r="I41" i="28"/>
  <c r="H41" i="28"/>
  <c r="K41" i="28"/>
  <c r="K192" i="36"/>
  <c r="A76" i="36"/>
  <c r="A71" i="36"/>
  <c r="C78" i="36"/>
  <c r="G78" i="36" s="1"/>
  <c r="A74" i="36"/>
  <c r="A70" i="36"/>
  <c r="A73" i="36"/>
  <c r="A69" i="36"/>
  <c r="A75" i="36"/>
  <c r="A72" i="36"/>
  <c r="A68" i="36"/>
  <c r="A127" i="36"/>
  <c r="A128" i="36"/>
  <c r="A120" i="36"/>
  <c r="A131" i="36"/>
  <c r="A129" i="36"/>
  <c r="A126" i="36"/>
  <c r="A118" i="36"/>
  <c r="A123" i="36"/>
  <c r="A119" i="36"/>
  <c r="A124" i="36"/>
  <c r="A121" i="36"/>
  <c r="A125" i="36"/>
  <c r="A130" i="36"/>
  <c r="A122" i="36"/>
  <c r="A135" i="36"/>
  <c r="A139" i="36"/>
  <c r="A141" i="36"/>
  <c r="A132" i="36"/>
  <c r="A136" i="36"/>
  <c r="A140" i="36"/>
  <c r="A134" i="36"/>
  <c r="A138" i="36"/>
  <c r="A142" i="36"/>
  <c r="A133" i="36"/>
  <c r="A137" i="36"/>
  <c r="A34" i="36"/>
  <c r="A35" i="36"/>
  <c r="AB51" i="28"/>
  <c r="A51" i="28"/>
  <c r="D43" i="28"/>
  <c r="H40" i="28"/>
  <c r="K40" i="28"/>
  <c r="I40" i="28"/>
  <c r="G40" i="28"/>
  <c r="I51" i="28"/>
  <c r="K51" i="28"/>
  <c r="H51" i="28"/>
  <c r="G51" i="28"/>
  <c r="I11" i="28"/>
  <c r="H11" i="28"/>
  <c r="G50" i="28"/>
  <c r="I50" i="28"/>
  <c r="H50" i="28"/>
  <c r="K50" i="28"/>
  <c r="K49" i="28"/>
  <c r="I49" i="28"/>
  <c r="H49" i="28"/>
  <c r="G49" i="28"/>
  <c r="G39" i="28"/>
  <c r="H39" i="28"/>
  <c r="I39" i="28"/>
  <c r="K39" i="28"/>
  <c r="K12" i="28"/>
  <c r="I12" i="28"/>
  <c r="G12" i="28"/>
  <c r="H12" i="28"/>
  <c r="A28" i="36"/>
  <c r="C682" i="30"/>
  <c r="L18" i="30"/>
  <c r="P18" i="30" s="1"/>
  <c r="A29" i="36"/>
  <c r="A33" i="36"/>
  <c r="M192" i="36"/>
  <c r="A32" i="36"/>
  <c r="C263" i="36"/>
  <c r="U250" i="39" l="1"/>
  <c r="T250" i="39" s="1"/>
  <c r="U20" i="39"/>
  <c r="T20" i="39" s="1"/>
  <c r="X14" i="28"/>
  <c r="D29" i="73"/>
  <c r="D28" i="73"/>
  <c r="AW28" i="73" s="1"/>
  <c r="C133" i="28"/>
  <c r="C135" i="28" s="1"/>
  <c r="C137" i="28" s="1"/>
  <c r="U242" i="39"/>
  <c r="T242" i="39" s="1"/>
  <c r="F14" i="28"/>
  <c r="K14" i="28" s="1"/>
  <c r="U246" i="39"/>
  <c r="T246" i="39" s="1"/>
  <c r="U239" i="39"/>
  <c r="T239" i="39" s="1"/>
  <c r="Y240" i="39"/>
  <c r="Z240" i="39" s="1"/>
  <c r="R240" i="39" s="1"/>
  <c r="S240" i="39" s="1"/>
  <c r="U240" i="39" s="1"/>
  <c r="T240" i="39" s="1"/>
  <c r="U243" i="39"/>
  <c r="T243" i="39" s="1"/>
  <c r="U238" i="39"/>
  <c r="T238" i="39" s="1"/>
  <c r="Z244" i="39"/>
  <c r="R244" i="39" s="1"/>
  <c r="S244" i="39" s="1"/>
  <c r="U244" i="39" s="1"/>
  <c r="T244" i="39" s="1"/>
  <c r="U222" i="39"/>
  <c r="T222" i="39" s="1"/>
  <c r="U225" i="39"/>
  <c r="T225" i="39" s="1"/>
  <c r="Z241" i="39"/>
  <c r="R241" i="39" s="1"/>
  <c r="S241" i="39" s="1"/>
  <c r="U241" i="39" s="1"/>
  <c r="T241" i="39" s="1"/>
  <c r="Z247" i="39"/>
  <c r="R247" i="39" s="1"/>
  <c r="S247" i="39" s="1"/>
  <c r="U247" i="39" s="1"/>
  <c r="T247" i="39" s="1"/>
  <c r="Y245" i="39"/>
  <c r="Z245" i="39" s="1"/>
  <c r="R245" i="39" s="1"/>
  <c r="S245" i="39" s="1"/>
  <c r="U245" i="39" s="1"/>
  <c r="T245" i="39" s="1"/>
  <c r="Y248" i="39"/>
  <c r="Z248" i="39" s="1"/>
  <c r="R248" i="39" s="1"/>
  <c r="S248" i="39" s="1"/>
  <c r="U248" i="39" s="1"/>
  <c r="T248" i="39" s="1"/>
  <c r="U219" i="39"/>
  <c r="T219" i="39" s="1"/>
  <c r="U208" i="39"/>
  <c r="T208" i="39" s="1"/>
  <c r="U206" i="39"/>
  <c r="T206" i="39" s="1"/>
  <c r="U211" i="39"/>
  <c r="T211" i="39" s="1"/>
  <c r="U224" i="39"/>
  <c r="T224" i="39" s="1"/>
  <c r="U210" i="39"/>
  <c r="T210" i="39" s="1"/>
  <c r="U209" i="39"/>
  <c r="T209" i="39" s="1"/>
  <c r="U221" i="39"/>
  <c r="T221" i="39" s="1"/>
  <c r="Y218" i="39"/>
  <c r="Z218" i="39" s="1"/>
  <c r="R218" i="39" s="1"/>
  <c r="S218" i="39" s="1"/>
  <c r="U218" i="39" s="1"/>
  <c r="T218" i="39" s="1"/>
  <c r="U220" i="39"/>
  <c r="T220" i="39" s="1"/>
  <c r="Z207" i="39"/>
  <c r="R207" i="39" s="1"/>
  <c r="S207" i="39" s="1"/>
  <c r="U207" i="39" s="1"/>
  <c r="T207" i="39" s="1"/>
  <c r="Y213" i="39"/>
  <c r="Z213" i="39" s="1"/>
  <c r="R213" i="39" s="1"/>
  <c r="S213" i="39" s="1"/>
  <c r="U213" i="39" s="1"/>
  <c r="T213" i="39" s="1"/>
  <c r="Y216" i="39"/>
  <c r="Z216" i="39" s="1"/>
  <c r="R216" i="39" s="1"/>
  <c r="S216" i="39" s="1"/>
  <c r="U216" i="39" s="1"/>
  <c r="T216" i="39" s="1"/>
  <c r="Y212" i="39"/>
  <c r="Z212" i="39" s="1"/>
  <c r="R212" i="39" s="1"/>
  <c r="S212" i="39" s="1"/>
  <c r="U212" i="39" s="1"/>
  <c r="T212" i="39" s="1"/>
  <c r="Z123" i="39"/>
  <c r="R123" i="39" s="1"/>
  <c r="S123" i="39" s="1"/>
  <c r="U123" i="39" s="1"/>
  <c r="T123" i="39" s="1"/>
  <c r="Y217" i="39"/>
  <c r="Z217" i="39" s="1"/>
  <c r="R217" i="39" s="1"/>
  <c r="S217" i="39" s="1"/>
  <c r="U217" i="39" s="1"/>
  <c r="T217" i="39" s="1"/>
  <c r="Z214" i="39"/>
  <c r="R214" i="39" s="1"/>
  <c r="S214" i="39" s="1"/>
  <c r="U214" i="39" s="1"/>
  <c r="T214" i="39" s="1"/>
  <c r="Z125" i="39"/>
  <c r="R125" i="39" s="1"/>
  <c r="S125" i="39" s="1"/>
  <c r="U125" i="39" s="1"/>
  <c r="T125" i="39" s="1"/>
  <c r="Z124" i="39"/>
  <c r="R124" i="39" s="1"/>
  <c r="S124" i="39" s="1"/>
  <c r="U124" i="39" s="1"/>
  <c r="T124" i="39" s="1"/>
  <c r="Z122" i="39"/>
  <c r="R122" i="39" s="1"/>
  <c r="S122" i="39" s="1"/>
  <c r="U122" i="39" s="1"/>
  <c r="T122" i="39" s="1"/>
  <c r="Y121" i="39"/>
  <c r="Z121" i="39" s="1"/>
  <c r="R121" i="39" s="1"/>
  <c r="S121" i="39" s="1"/>
  <c r="U121" i="39" s="1"/>
  <c r="T121" i="39" s="1"/>
  <c r="Y127" i="39"/>
  <c r="Z127" i="39" s="1"/>
  <c r="R127" i="39" s="1"/>
  <c r="S127" i="39" s="1"/>
  <c r="U127" i="39" s="1"/>
  <c r="T127" i="39" s="1"/>
  <c r="Y126" i="39"/>
  <c r="Z126" i="39" s="1"/>
  <c r="R126" i="39" s="1"/>
  <c r="S126" i="39" s="1"/>
  <c r="U126" i="39" s="1"/>
  <c r="T126" i="39" s="1"/>
  <c r="U185" i="39"/>
  <c r="T185" i="39" s="1"/>
  <c r="U181" i="39"/>
  <c r="T181" i="39" s="1"/>
  <c r="U192" i="39"/>
  <c r="T192" i="39" s="1"/>
  <c r="U161" i="39"/>
  <c r="T161" i="39" s="1"/>
  <c r="U190" i="39"/>
  <c r="T190" i="39" s="1"/>
  <c r="U197" i="39"/>
  <c r="T197" i="39" s="1"/>
  <c r="U184" i="39"/>
  <c r="T184" i="39" s="1"/>
  <c r="U183" i="39"/>
  <c r="T183" i="39" s="1"/>
  <c r="U188" i="39"/>
  <c r="T188" i="39" s="1"/>
  <c r="Z189" i="39"/>
  <c r="R189" i="39" s="1"/>
  <c r="S189" i="39" s="1"/>
  <c r="U189" i="39" s="1"/>
  <c r="T189" i="39" s="1"/>
  <c r="Z182" i="39"/>
  <c r="R182" i="39" s="1"/>
  <c r="S182" i="39" s="1"/>
  <c r="U182" i="39" s="1"/>
  <c r="T182" i="39" s="1"/>
  <c r="U191" i="39"/>
  <c r="T191" i="39" s="1"/>
  <c r="Z180" i="39"/>
  <c r="R180" i="39" s="1"/>
  <c r="S180" i="39" s="1"/>
  <c r="U180" i="39" s="1"/>
  <c r="T180" i="39" s="1"/>
  <c r="U159" i="39"/>
  <c r="T159" i="39" s="1"/>
  <c r="Z187" i="39"/>
  <c r="R187" i="39" s="1"/>
  <c r="S187" i="39" s="1"/>
  <c r="U187" i="39" s="1"/>
  <c r="T187" i="39" s="1"/>
  <c r="Z186" i="39"/>
  <c r="R186" i="39" s="1"/>
  <c r="S186" i="39" s="1"/>
  <c r="U186" i="39" s="1"/>
  <c r="T186" i="39" s="1"/>
  <c r="U168" i="39"/>
  <c r="T168" i="39" s="1"/>
  <c r="Y160" i="39"/>
  <c r="Z160" i="39" s="1"/>
  <c r="R160" i="39" s="1"/>
  <c r="S160" i="39" s="1"/>
  <c r="U160" i="39" s="1"/>
  <c r="T160" i="39" s="1"/>
  <c r="Y163" i="39"/>
  <c r="Z163" i="39" s="1"/>
  <c r="R163" i="39" s="1"/>
  <c r="S163" i="39" s="1"/>
  <c r="U163" i="39" s="1"/>
  <c r="T163" i="39" s="1"/>
  <c r="Y166" i="39"/>
  <c r="Z166" i="39" s="1"/>
  <c r="R166" i="39" s="1"/>
  <c r="S166" i="39" s="1"/>
  <c r="U166" i="39" s="1"/>
  <c r="T166" i="39" s="1"/>
  <c r="U167" i="39"/>
  <c r="T167" i="39" s="1"/>
  <c r="Z165" i="39"/>
  <c r="R165" i="39" s="1"/>
  <c r="S165" i="39" s="1"/>
  <c r="U165" i="39" s="1"/>
  <c r="T165" i="39" s="1"/>
  <c r="Y162" i="39"/>
  <c r="Z162" i="39" s="1"/>
  <c r="R162" i="39" s="1"/>
  <c r="S162" i="39" s="1"/>
  <c r="U162" i="39" s="1"/>
  <c r="T162" i="39" s="1"/>
  <c r="U132" i="39"/>
  <c r="T132" i="39" s="1"/>
  <c r="Z164" i="39"/>
  <c r="R164" i="39" s="1"/>
  <c r="S164" i="39" s="1"/>
  <c r="U164" i="39" s="1"/>
  <c r="T164" i="39" s="1"/>
  <c r="U139" i="39"/>
  <c r="T139" i="39" s="1"/>
  <c r="AT96" i="73"/>
  <c r="Z150" i="39"/>
  <c r="R150" i="39" s="1"/>
  <c r="S150" i="39" s="1"/>
  <c r="U150" i="39" s="1"/>
  <c r="T150" i="39" s="1"/>
  <c r="U155" i="39"/>
  <c r="T155" i="39" s="1"/>
  <c r="U144" i="39"/>
  <c r="T144" i="39" s="1"/>
  <c r="Y154" i="39"/>
  <c r="Z154" i="39" s="1"/>
  <c r="R154" i="39" s="1"/>
  <c r="S154" i="39" s="1"/>
  <c r="U154" i="39" s="1"/>
  <c r="T154" i="39" s="1"/>
  <c r="U138" i="39"/>
  <c r="T138" i="39" s="1"/>
  <c r="Z152" i="39"/>
  <c r="R152" i="39" s="1"/>
  <c r="S152" i="39" s="1"/>
  <c r="U152" i="39" s="1"/>
  <c r="T152" i="39" s="1"/>
  <c r="Z151" i="39"/>
  <c r="R151" i="39" s="1"/>
  <c r="S151" i="39" s="1"/>
  <c r="U151" i="39" s="1"/>
  <c r="T151" i="39" s="1"/>
  <c r="BF96" i="73"/>
  <c r="Y96" i="73" s="1"/>
  <c r="Y147" i="39"/>
  <c r="Z147" i="39" s="1"/>
  <c r="R147" i="39" s="1"/>
  <c r="S147" i="39" s="1"/>
  <c r="U147" i="39" s="1"/>
  <c r="T147" i="39" s="1"/>
  <c r="Y142" i="39"/>
  <c r="Z142" i="39" s="1"/>
  <c r="R142" i="39" s="1"/>
  <c r="S142" i="39" s="1"/>
  <c r="U142" i="39" s="1"/>
  <c r="T142" i="39" s="1"/>
  <c r="Y153" i="39"/>
  <c r="Z153" i="39" s="1"/>
  <c r="R153" i="39" s="1"/>
  <c r="S153" i="39" s="1"/>
  <c r="U153" i="39" s="1"/>
  <c r="T153" i="39" s="1"/>
  <c r="Z156" i="39"/>
  <c r="R156" i="39" s="1"/>
  <c r="S156" i="39" s="1"/>
  <c r="U156" i="39" s="1"/>
  <c r="T156" i="39" s="1"/>
  <c r="U140" i="39"/>
  <c r="T140" i="39" s="1"/>
  <c r="Z134" i="39"/>
  <c r="R134" i="39" s="1"/>
  <c r="S134" i="39" s="1"/>
  <c r="U134" i="39" s="1"/>
  <c r="T134" i="39" s="1"/>
  <c r="Y141" i="39"/>
  <c r="Z141" i="39" s="1"/>
  <c r="R141" i="39" s="1"/>
  <c r="S141" i="39" s="1"/>
  <c r="U141" i="39" s="1"/>
  <c r="T141" i="39" s="1"/>
  <c r="Y149" i="39"/>
  <c r="Z149" i="39" s="1"/>
  <c r="R149" i="39" s="1"/>
  <c r="S149" i="39" s="1"/>
  <c r="U149" i="39" s="1"/>
  <c r="T149" i="39" s="1"/>
  <c r="Y146" i="39"/>
  <c r="Z146" i="39" s="1"/>
  <c r="R146" i="39" s="1"/>
  <c r="S146" i="39" s="1"/>
  <c r="U146" i="39" s="1"/>
  <c r="T146" i="39" s="1"/>
  <c r="Z143" i="39"/>
  <c r="R143" i="39" s="1"/>
  <c r="S143" i="39" s="1"/>
  <c r="U143" i="39" s="1"/>
  <c r="T143" i="39" s="1"/>
  <c r="Z136" i="39"/>
  <c r="R136" i="39" s="1"/>
  <c r="S136" i="39" s="1"/>
  <c r="U136" i="39" s="1"/>
  <c r="T136" i="39" s="1"/>
  <c r="Y133" i="39"/>
  <c r="Z133" i="39" s="1"/>
  <c r="R133" i="39" s="1"/>
  <c r="S133" i="39" s="1"/>
  <c r="U133" i="39" s="1"/>
  <c r="T133" i="39" s="1"/>
  <c r="Z148" i="39"/>
  <c r="R148" i="39" s="1"/>
  <c r="S148" i="39" s="1"/>
  <c r="U148" i="39" s="1"/>
  <c r="T148" i="39" s="1"/>
  <c r="Y135" i="39"/>
  <c r="Z135" i="39" s="1"/>
  <c r="R135" i="39" s="1"/>
  <c r="S135" i="39" s="1"/>
  <c r="U135" i="39" s="1"/>
  <c r="T135" i="39" s="1"/>
  <c r="Z137" i="39"/>
  <c r="R137" i="39" s="1"/>
  <c r="S137" i="39" s="1"/>
  <c r="U137" i="39" s="1"/>
  <c r="T137" i="39" s="1"/>
  <c r="U117" i="39"/>
  <c r="T117" i="39" s="1"/>
  <c r="U31" i="39"/>
  <c r="T31" i="39" s="1"/>
  <c r="Y116" i="39"/>
  <c r="Z116" i="39" s="1"/>
  <c r="R116" i="39" s="1"/>
  <c r="S116" i="39" s="1"/>
  <c r="U116" i="39" s="1"/>
  <c r="T116" i="39" s="1"/>
  <c r="Y115" i="39"/>
  <c r="Z115" i="39" s="1"/>
  <c r="R115" i="39" s="1"/>
  <c r="S115" i="39" s="1"/>
  <c r="U115" i="39" s="1"/>
  <c r="T115" i="39" s="1"/>
  <c r="Z118" i="39"/>
  <c r="R118" i="39" s="1"/>
  <c r="S118" i="39" s="1"/>
  <c r="U118" i="39" s="1"/>
  <c r="T118" i="39" s="1"/>
  <c r="U37" i="39"/>
  <c r="T37" i="39" s="1"/>
  <c r="Z114" i="39"/>
  <c r="R114" i="39" s="1"/>
  <c r="S114" i="39" s="1"/>
  <c r="U114" i="39" s="1"/>
  <c r="T114" i="39" s="1"/>
  <c r="Z113" i="39"/>
  <c r="R113" i="39" s="1"/>
  <c r="S113" i="39" s="1"/>
  <c r="U113" i="39" s="1"/>
  <c r="T113" i="39" s="1"/>
  <c r="U104" i="39"/>
  <c r="T104" i="39" s="1"/>
  <c r="U14" i="39"/>
  <c r="T14" i="39" s="1"/>
  <c r="Z106" i="39"/>
  <c r="R106" i="39" s="1"/>
  <c r="S106" i="39" s="1"/>
  <c r="U106" i="39" s="1"/>
  <c r="T106" i="39" s="1"/>
  <c r="U77" i="39"/>
  <c r="T77" i="39" s="1"/>
  <c r="U19" i="39"/>
  <c r="T19" i="39" s="1"/>
  <c r="Z105" i="39"/>
  <c r="R105" i="39" s="1"/>
  <c r="S105" i="39" s="1"/>
  <c r="U105" i="39" s="1"/>
  <c r="T105" i="39" s="1"/>
  <c r="U25" i="39"/>
  <c r="T25" i="39" s="1"/>
  <c r="U39" i="39"/>
  <c r="T39" i="39" s="1"/>
  <c r="U40" i="39"/>
  <c r="T40" i="39" s="1"/>
  <c r="Y103" i="39"/>
  <c r="Z103" i="39" s="1"/>
  <c r="R103" i="39" s="1"/>
  <c r="S103" i="39" s="1"/>
  <c r="U103" i="39" s="1"/>
  <c r="T103" i="39" s="1"/>
  <c r="U29" i="39"/>
  <c r="T29" i="39" s="1"/>
  <c r="Z36" i="39"/>
  <c r="R36" i="39" s="1"/>
  <c r="S36" i="39" s="1"/>
  <c r="U36" i="39" s="1"/>
  <c r="T36" i="39" s="1"/>
  <c r="U35" i="39"/>
  <c r="T35" i="39" s="1"/>
  <c r="U42" i="39"/>
  <c r="T42" i="39" s="1"/>
  <c r="Z30" i="39"/>
  <c r="R30" i="39" s="1"/>
  <c r="S30" i="39" s="1"/>
  <c r="U30" i="39" s="1"/>
  <c r="T30" i="39" s="1"/>
  <c r="Z34" i="39"/>
  <c r="R34" i="39" s="1"/>
  <c r="S34" i="39" s="1"/>
  <c r="U34" i="39" s="1"/>
  <c r="T34" i="39" s="1"/>
  <c r="U33" i="39"/>
  <c r="T33" i="39" s="1"/>
  <c r="Y32" i="39"/>
  <c r="Z32" i="39" s="1"/>
  <c r="R32" i="39" s="1"/>
  <c r="S32" i="39" s="1"/>
  <c r="U32" i="39" s="1"/>
  <c r="T32" i="39" s="1"/>
  <c r="Z38" i="39"/>
  <c r="R38" i="39" s="1"/>
  <c r="S38" i="39" s="1"/>
  <c r="U38" i="39" s="1"/>
  <c r="T38" i="39" s="1"/>
  <c r="Z41" i="39"/>
  <c r="R41" i="39" s="1"/>
  <c r="S41" i="39" s="1"/>
  <c r="U41" i="39" s="1"/>
  <c r="T41" i="39" s="1"/>
  <c r="Z24" i="39"/>
  <c r="R24" i="39" s="1"/>
  <c r="S24" i="39" s="1"/>
  <c r="U24" i="39" s="1"/>
  <c r="T24" i="39" s="1"/>
  <c r="U21" i="39"/>
  <c r="T21" i="39" s="1"/>
  <c r="U22" i="39"/>
  <c r="T22" i="39" s="1"/>
  <c r="U23" i="39"/>
  <c r="T23" i="39" s="1"/>
  <c r="U79" i="39"/>
  <c r="T79" i="39" s="1"/>
  <c r="Y26" i="39"/>
  <c r="Z26" i="39" s="1"/>
  <c r="R26" i="39" s="1"/>
  <c r="S26" i="39" s="1"/>
  <c r="U26" i="39" s="1"/>
  <c r="T26" i="39" s="1"/>
  <c r="U82" i="39"/>
  <c r="T82" i="39" s="1"/>
  <c r="U78" i="39"/>
  <c r="T78" i="39" s="1"/>
  <c r="U80" i="39"/>
  <c r="T80" i="39" s="1"/>
  <c r="U81" i="39"/>
  <c r="T81" i="39" s="1"/>
  <c r="Z83" i="39"/>
  <c r="R83" i="39" s="1"/>
  <c r="S83" i="39" s="1"/>
  <c r="U83" i="39" s="1"/>
  <c r="T83" i="39" s="1"/>
  <c r="Y84" i="39"/>
  <c r="Z84" i="39" s="1"/>
  <c r="R84" i="39" s="1"/>
  <c r="S84" i="39" s="1"/>
  <c r="U84" i="39" s="1"/>
  <c r="T84" i="39" s="1"/>
  <c r="Z76" i="39"/>
  <c r="R76" i="39" s="1"/>
  <c r="S76" i="39" s="1"/>
  <c r="U76" i="39" s="1"/>
  <c r="T76" i="39" s="1"/>
  <c r="U15" i="39"/>
  <c r="T15" i="39" s="1"/>
  <c r="U16" i="39"/>
  <c r="T16" i="39" s="1"/>
  <c r="T97" i="73"/>
  <c r="AM97" i="73"/>
  <c r="U97" i="73" s="1"/>
  <c r="AY95" i="73"/>
  <c r="AL95" i="73"/>
  <c r="AL94" i="73"/>
  <c r="AY94" i="73"/>
  <c r="AM96" i="73"/>
  <c r="U96" i="73" s="1"/>
  <c r="T96" i="73"/>
  <c r="S196" i="39"/>
  <c r="U196" i="39" s="1"/>
  <c r="T196" i="39" s="1"/>
  <c r="S229" i="39"/>
  <c r="U229" i="39" s="1"/>
  <c r="T229" i="39" s="1"/>
  <c r="BA96" i="73"/>
  <c r="S233" i="39"/>
  <c r="U233" i="39" s="1"/>
  <c r="T233" i="39" s="1"/>
  <c r="BA97" i="73"/>
  <c r="BF94" i="73"/>
  <c r="Y94" i="73" s="1"/>
  <c r="AQ94" i="73"/>
  <c r="AT94" i="73" s="1"/>
  <c r="BF95" i="73"/>
  <c r="Y95" i="73" s="1"/>
  <c r="D118" i="73"/>
  <c r="D119" i="73"/>
  <c r="C15" i="28"/>
  <c r="F15" i="28" s="1"/>
  <c r="AA14" i="28"/>
  <c r="AB14" i="28"/>
  <c r="AC14" i="28"/>
  <c r="G13" i="28"/>
  <c r="H13" i="28"/>
  <c r="K13" i="28"/>
  <c r="I13" i="28"/>
  <c r="U92" i="39"/>
  <c r="T92" i="39" s="1"/>
  <c r="U251" i="39"/>
  <c r="T251" i="39" s="1"/>
  <c r="U231" i="39"/>
  <c r="T231" i="39" s="1"/>
  <c r="U93" i="39"/>
  <c r="T93" i="39" s="1"/>
  <c r="U175" i="39"/>
  <c r="T175" i="39" s="1"/>
  <c r="U94" i="39"/>
  <c r="T94" i="39" s="1"/>
  <c r="U102" i="39"/>
  <c r="T102" i="39" s="1"/>
  <c r="U91" i="39"/>
  <c r="T91" i="39" s="1"/>
  <c r="U254" i="39"/>
  <c r="T254" i="39" s="1"/>
  <c r="U232" i="39"/>
  <c r="T232" i="39" s="1"/>
  <c r="U201" i="39"/>
  <c r="T201" i="39" s="1"/>
  <c r="C65" i="28"/>
  <c r="F65" i="28" s="1"/>
  <c r="X64" i="28"/>
  <c r="D64" i="28"/>
  <c r="U193" i="39"/>
  <c r="T193" i="39" s="1"/>
  <c r="U200" i="39"/>
  <c r="T200" i="39" s="1"/>
  <c r="U96" i="39"/>
  <c r="T96" i="39" s="1"/>
  <c r="U64" i="39"/>
  <c r="T64" i="39" s="1"/>
  <c r="Z176" i="39"/>
  <c r="R176" i="39" s="1"/>
  <c r="S176" i="39" s="1"/>
  <c r="U176" i="39" s="1"/>
  <c r="T176" i="39" s="1"/>
  <c r="U112" i="39"/>
  <c r="T112" i="39" s="1"/>
  <c r="U230" i="39"/>
  <c r="T230" i="39" s="1"/>
  <c r="U97" i="39"/>
  <c r="T97" i="39" s="1"/>
  <c r="U253" i="39"/>
  <c r="T253" i="39" s="1"/>
  <c r="U252" i="39"/>
  <c r="T252" i="39" s="1"/>
  <c r="U173" i="39"/>
  <c r="T173" i="39" s="1"/>
  <c r="U227" i="39"/>
  <c r="T227" i="39" s="1"/>
  <c r="U226" i="39"/>
  <c r="T226" i="39" s="1"/>
  <c r="U194" i="39"/>
  <c r="T194" i="39" s="1"/>
  <c r="U174" i="39"/>
  <c r="T174" i="39" s="1"/>
  <c r="U109" i="39"/>
  <c r="T109" i="39" s="1"/>
  <c r="U199" i="39"/>
  <c r="T199" i="39" s="1"/>
  <c r="U101" i="39"/>
  <c r="T101" i="39" s="1"/>
  <c r="U111" i="39"/>
  <c r="T111" i="39" s="1"/>
  <c r="U110" i="39"/>
  <c r="T110" i="39" s="1"/>
  <c r="U195" i="39"/>
  <c r="T195" i="39" s="1"/>
  <c r="U98" i="39"/>
  <c r="T98" i="39" s="1"/>
  <c r="U198" i="39"/>
  <c r="T198" i="39" s="1"/>
  <c r="U179" i="39"/>
  <c r="T179" i="39" s="1"/>
  <c r="U89" i="39"/>
  <c r="T89" i="39" s="1"/>
  <c r="U228" i="39"/>
  <c r="T228" i="39" s="1"/>
  <c r="U100" i="39"/>
  <c r="T100" i="39" s="1"/>
  <c r="U99" i="39"/>
  <c r="T99" i="39" s="1"/>
  <c r="U65" i="39"/>
  <c r="T65" i="39" s="1"/>
  <c r="U95" i="39"/>
  <c r="T95" i="39" s="1"/>
  <c r="U90" i="39"/>
  <c r="T90" i="39" s="1"/>
  <c r="X78" i="36"/>
  <c r="X37" i="36"/>
  <c r="B144" i="41"/>
  <c r="B153" i="41" s="1"/>
  <c r="B159" i="41" s="1"/>
  <c r="B164" i="41" s="1"/>
  <c r="U68" i="39"/>
  <c r="T68" i="39" s="1"/>
  <c r="U52" i="39"/>
  <c r="T52" i="39" s="1"/>
  <c r="U67" i="39"/>
  <c r="T67" i="39" s="1"/>
  <c r="U60" i="39"/>
  <c r="T60" i="39" s="1"/>
  <c r="U75" i="39"/>
  <c r="T75" i="39" s="1"/>
  <c r="U59" i="39"/>
  <c r="T59" i="39" s="1"/>
  <c r="U51" i="39"/>
  <c r="T51" i="39" s="1"/>
  <c r="U66" i="39"/>
  <c r="T66" i="39" s="1"/>
  <c r="L207" i="30"/>
  <c r="P207" i="30" s="1"/>
  <c r="L58" i="30"/>
  <c r="P58" i="30" s="1"/>
  <c r="J23" i="30"/>
  <c r="I23" i="30"/>
  <c r="M23" i="30"/>
  <c r="O23" i="30" s="1"/>
  <c r="K23" i="30"/>
  <c r="J222" i="30"/>
  <c r="I222" i="30"/>
  <c r="K222" i="30"/>
  <c r="M222" i="30"/>
  <c r="O222" i="30" s="1"/>
  <c r="B192" i="41"/>
  <c r="L52" i="30"/>
  <c r="P52" i="30" s="1"/>
  <c r="L24" i="30"/>
  <c r="P24" i="30" s="1"/>
  <c r="L221" i="30"/>
  <c r="P221" i="30" s="1"/>
  <c r="K208" i="30"/>
  <c r="J208" i="30"/>
  <c r="M208" i="30"/>
  <c r="O208" i="30" s="1"/>
  <c r="I208" i="30"/>
  <c r="P280" i="39"/>
  <c r="Y280" i="39" s="1"/>
  <c r="Z280" i="39" s="1"/>
  <c r="R280" i="39" s="1"/>
  <c r="S280" i="39" s="1"/>
  <c r="U280" i="39" s="1"/>
  <c r="T280" i="39" s="1"/>
  <c r="P270" i="39"/>
  <c r="Y270" i="39" s="1"/>
  <c r="Z270" i="39" s="1"/>
  <c r="R270" i="39" s="1"/>
  <c r="P266" i="39"/>
  <c r="Y266" i="39" s="1"/>
  <c r="Z266" i="39" s="1"/>
  <c r="R266" i="39" s="1"/>
  <c r="S266" i="39" s="1"/>
  <c r="U266" i="39" s="1"/>
  <c r="T266" i="39" s="1"/>
  <c r="Y73" i="39"/>
  <c r="Z73" i="39" s="1"/>
  <c r="R73" i="39" s="1"/>
  <c r="S73" i="39" s="1"/>
  <c r="U73" i="39" s="1"/>
  <c r="T73" i="39" s="1"/>
  <c r="Y69" i="39"/>
  <c r="Z69" i="39" s="1"/>
  <c r="R69" i="39" s="1"/>
  <c r="S69" i="39" s="1"/>
  <c r="U69" i="39" s="1"/>
  <c r="T69" i="39" s="1"/>
  <c r="Y63" i="39"/>
  <c r="Z63" i="39" s="1"/>
  <c r="R63" i="39" s="1"/>
  <c r="S63" i="39" s="1"/>
  <c r="U63" i="39" s="1"/>
  <c r="T63" i="39" s="1"/>
  <c r="Y57" i="39"/>
  <c r="Z57" i="39" s="1"/>
  <c r="R57" i="39" s="1"/>
  <c r="S57" i="39" s="1"/>
  <c r="U57" i="39" s="1"/>
  <c r="T57" i="39" s="1"/>
  <c r="Y53" i="39"/>
  <c r="Z53" i="39" s="1"/>
  <c r="R53" i="39" s="1"/>
  <c r="S53" i="39" s="1"/>
  <c r="U53" i="39" s="1"/>
  <c r="T53" i="39" s="1"/>
  <c r="Y47" i="39"/>
  <c r="Z47" i="39" s="1"/>
  <c r="R47" i="39" s="1"/>
  <c r="P278" i="39"/>
  <c r="Y278" i="39" s="1"/>
  <c r="Z278" i="39" s="1"/>
  <c r="R278" i="39" s="1"/>
  <c r="S278" i="39" s="1"/>
  <c r="U278" i="39" s="1"/>
  <c r="T278" i="39" s="1"/>
  <c r="P264" i="39"/>
  <c r="Y264" i="39" s="1"/>
  <c r="Z264" i="39" s="1"/>
  <c r="R264" i="39" s="1"/>
  <c r="S264" i="39" s="1"/>
  <c r="U264" i="39" s="1"/>
  <c r="T264" i="39" s="1"/>
  <c r="Y71" i="39"/>
  <c r="Z71" i="39" s="1"/>
  <c r="R71" i="39" s="1"/>
  <c r="S71" i="39" s="1"/>
  <c r="U71" i="39" s="1"/>
  <c r="T71" i="39" s="1"/>
  <c r="Y61" i="39"/>
  <c r="Z61" i="39" s="1"/>
  <c r="R61" i="39" s="1"/>
  <c r="S61" i="39" s="1"/>
  <c r="U61" i="39" s="1"/>
  <c r="T61" i="39" s="1"/>
  <c r="Y49" i="39"/>
  <c r="Z49" i="39" s="1"/>
  <c r="P275" i="39"/>
  <c r="Y275" i="39" s="1"/>
  <c r="Z275" i="39" s="1"/>
  <c r="R275" i="39" s="1"/>
  <c r="S275" i="39" s="1"/>
  <c r="U275" i="39" s="1"/>
  <c r="T275" i="39" s="1"/>
  <c r="Y74" i="39"/>
  <c r="Z74" i="39" s="1"/>
  <c r="R74" i="39" s="1"/>
  <c r="S74" i="39" s="1"/>
  <c r="U74" i="39" s="1"/>
  <c r="T74" i="39" s="1"/>
  <c r="Y54" i="39"/>
  <c r="Z54" i="39" s="1"/>
  <c r="R54" i="39" s="1"/>
  <c r="S54" i="39" s="1"/>
  <c r="U54" i="39" s="1"/>
  <c r="T54" i="39" s="1"/>
  <c r="P279" i="39"/>
  <c r="Y279" i="39" s="1"/>
  <c r="Z279" i="39" s="1"/>
  <c r="R279" i="39" s="1"/>
  <c r="S279" i="39" s="1"/>
  <c r="U279" i="39" s="1"/>
  <c r="T279" i="39" s="1"/>
  <c r="P269" i="39"/>
  <c r="P265" i="39"/>
  <c r="Y265" i="39" s="1"/>
  <c r="Z265" i="39" s="1"/>
  <c r="R265" i="39" s="1"/>
  <c r="S265" i="39" s="1"/>
  <c r="U265" i="39" s="1"/>
  <c r="T265" i="39" s="1"/>
  <c r="Y72" i="39"/>
  <c r="Z72" i="39" s="1"/>
  <c r="R72" i="39" s="1"/>
  <c r="S72" i="39" s="1"/>
  <c r="U72" i="39" s="1"/>
  <c r="T72" i="39" s="1"/>
  <c r="Y62" i="39"/>
  <c r="Z62" i="39" s="1"/>
  <c r="R62" i="39" s="1"/>
  <c r="S62" i="39" s="1"/>
  <c r="U62" i="39" s="1"/>
  <c r="T62" i="39" s="1"/>
  <c r="Y56" i="39"/>
  <c r="Z56" i="39" s="1"/>
  <c r="R56" i="39" s="1"/>
  <c r="S56" i="39" s="1"/>
  <c r="U56" i="39" s="1"/>
  <c r="T56" i="39" s="1"/>
  <c r="Y50" i="39"/>
  <c r="Z50" i="39" s="1"/>
  <c r="Y268" i="39"/>
  <c r="Z268" i="39" s="1"/>
  <c r="R268" i="39" s="1"/>
  <c r="S268" i="39" s="1"/>
  <c r="U268" i="39" s="1"/>
  <c r="T268" i="39" s="1"/>
  <c r="Y55" i="39"/>
  <c r="Z55" i="39" s="1"/>
  <c r="R55" i="39" s="1"/>
  <c r="S55" i="39" s="1"/>
  <c r="U55" i="39" s="1"/>
  <c r="T55" i="39" s="1"/>
  <c r="P283" i="39"/>
  <c r="Y283" i="39" s="1"/>
  <c r="Z283" i="39" s="1"/>
  <c r="R283" i="39" s="1"/>
  <c r="S283" i="39" s="1"/>
  <c r="U283" i="39" s="1"/>
  <c r="T283" i="39" s="1"/>
  <c r="P267" i="39"/>
  <c r="Y267" i="39" s="1"/>
  <c r="Z267" i="39" s="1"/>
  <c r="R267" i="39" s="1"/>
  <c r="S267" i="39" s="1"/>
  <c r="U267" i="39" s="1"/>
  <c r="T267" i="39" s="1"/>
  <c r="Y70" i="39"/>
  <c r="Z70" i="39" s="1"/>
  <c r="R70" i="39" s="1"/>
  <c r="S70" i="39" s="1"/>
  <c r="U70" i="39" s="1"/>
  <c r="T70" i="39" s="1"/>
  <c r="Y58" i="39"/>
  <c r="Z58" i="39" s="1"/>
  <c r="R58" i="39" s="1"/>
  <c r="S58" i="39" s="1"/>
  <c r="U58" i="39" s="1"/>
  <c r="T58" i="39" s="1"/>
  <c r="Y48" i="39"/>
  <c r="Z48" i="39" s="1"/>
  <c r="R20" i="36"/>
  <c r="O78" i="36"/>
  <c r="R174" i="36"/>
  <c r="U174" i="36" s="1"/>
  <c r="V174" i="36" s="1"/>
  <c r="N76" i="36"/>
  <c r="R76" i="36" s="1"/>
  <c r="U76" i="36" s="1"/>
  <c r="N35" i="36"/>
  <c r="R35" i="36" s="1"/>
  <c r="U35" i="36" s="1"/>
  <c r="R164" i="36"/>
  <c r="U164" i="36" s="1"/>
  <c r="R28" i="36"/>
  <c r="U28" i="36" s="1"/>
  <c r="R181" i="36"/>
  <c r="U181" i="36" s="1"/>
  <c r="V181" i="36" s="1"/>
  <c r="S181" i="36"/>
  <c r="O245" i="36"/>
  <c r="Q245" i="36" s="1"/>
  <c r="O243" i="36"/>
  <c r="Q243" i="36" s="1"/>
  <c r="O222" i="36"/>
  <c r="Q222" i="36" s="1"/>
  <c r="O217" i="36"/>
  <c r="Q217" i="36" s="1"/>
  <c r="O166" i="36"/>
  <c r="Q166" i="36" s="1"/>
  <c r="O244" i="36"/>
  <c r="Q244" i="36" s="1"/>
  <c r="O220" i="36"/>
  <c r="Q220" i="36" s="1"/>
  <c r="O170" i="36"/>
  <c r="Q170" i="36" s="1"/>
  <c r="O167" i="36"/>
  <c r="Q167" i="36" s="1"/>
  <c r="S167" i="36" s="1"/>
  <c r="O164" i="36"/>
  <c r="Q164" i="36" s="1"/>
  <c r="O221" i="36"/>
  <c r="Q221" i="36" s="1"/>
  <c r="O218" i="36"/>
  <c r="Q218" i="36" s="1"/>
  <c r="O168" i="36"/>
  <c r="Q168" i="36" s="1"/>
  <c r="O165" i="36"/>
  <c r="Q165" i="36" s="1"/>
  <c r="O68" i="36"/>
  <c r="Q68" i="36" s="1"/>
  <c r="O219" i="36"/>
  <c r="Q219" i="36" s="1"/>
  <c r="O216" i="36"/>
  <c r="Q216" i="36" s="1"/>
  <c r="O169" i="36"/>
  <c r="Q169" i="36" s="1"/>
  <c r="O29" i="36"/>
  <c r="Q29" i="36" s="1"/>
  <c r="O69" i="36"/>
  <c r="Q69" i="36" s="1"/>
  <c r="O28" i="36"/>
  <c r="Q28" i="36" s="1"/>
  <c r="O70" i="36"/>
  <c r="Q70" i="36" s="1"/>
  <c r="O30" i="36"/>
  <c r="Q30" i="36" s="1"/>
  <c r="O71" i="36"/>
  <c r="Q71" i="36" s="1"/>
  <c r="O31" i="36"/>
  <c r="Q31" i="36" s="1"/>
  <c r="O72" i="36"/>
  <c r="Q72" i="36" s="1"/>
  <c r="O32" i="36"/>
  <c r="Q32" i="36" s="1"/>
  <c r="O73" i="36"/>
  <c r="Q73" i="36" s="1"/>
  <c r="O74" i="36"/>
  <c r="Q74" i="36" s="1"/>
  <c r="O33" i="36"/>
  <c r="Q33" i="36" s="1"/>
  <c r="O34" i="36"/>
  <c r="Q34" i="36" s="1"/>
  <c r="O75" i="36"/>
  <c r="Q75" i="36" s="1"/>
  <c r="O35" i="36"/>
  <c r="Q35" i="36" s="1"/>
  <c r="O76" i="36"/>
  <c r="Q76" i="36" s="1"/>
  <c r="R167" i="36"/>
  <c r="U167" i="36" s="1"/>
  <c r="R71" i="36"/>
  <c r="U71" i="36" s="1"/>
  <c r="S179" i="36"/>
  <c r="R179" i="36"/>
  <c r="U179" i="36" s="1"/>
  <c r="V179" i="36" s="1"/>
  <c r="S178" i="36"/>
  <c r="R178" i="36"/>
  <c r="U178" i="36" s="1"/>
  <c r="V178" i="36" s="1"/>
  <c r="R69" i="36"/>
  <c r="U69" i="36" s="1"/>
  <c r="P77" i="36"/>
  <c r="K77" i="36"/>
  <c r="L77" i="36"/>
  <c r="M77" i="36"/>
  <c r="S21" i="36"/>
  <c r="R21" i="36"/>
  <c r="S23" i="36"/>
  <c r="R23" i="36"/>
  <c r="R34" i="36"/>
  <c r="U34" i="36" s="1"/>
  <c r="R243" i="36"/>
  <c r="U243" i="36" s="1"/>
  <c r="R219" i="36"/>
  <c r="U219" i="36" s="1"/>
  <c r="M36" i="36"/>
  <c r="L36" i="36"/>
  <c r="K36" i="36"/>
  <c r="P36" i="36"/>
  <c r="R183" i="36"/>
  <c r="U183" i="36" s="1"/>
  <c r="V183" i="36" s="1"/>
  <c r="S183" i="36"/>
  <c r="R168" i="36"/>
  <c r="U168" i="36" s="1"/>
  <c r="R29" i="36"/>
  <c r="U29" i="36" s="1"/>
  <c r="V29" i="36" s="1"/>
  <c r="S19" i="36"/>
  <c r="R19" i="36"/>
  <c r="S176" i="36"/>
  <c r="R176" i="36"/>
  <c r="U176" i="36" s="1"/>
  <c r="V176" i="36" s="1"/>
  <c r="O77" i="36"/>
  <c r="S177" i="36"/>
  <c r="R177" i="36"/>
  <c r="R220" i="36"/>
  <c r="U220" i="36" s="1"/>
  <c r="S182" i="36"/>
  <c r="R182" i="36"/>
  <c r="S184" i="36"/>
  <c r="R184" i="36"/>
  <c r="U184" i="36" s="1"/>
  <c r="V184" i="36" s="1"/>
  <c r="O37" i="36"/>
  <c r="R245" i="36"/>
  <c r="U245" i="36" s="1"/>
  <c r="R73" i="36"/>
  <c r="U73" i="36" s="1"/>
  <c r="V73" i="36" s="1"/>
  <c r="O36" i="36"/>
  <c r="S175" i="36"/>
  <c r="R175" i="36"/>
  <c r="U175" i="36" s="1"/>
  <c r="V175" i="36" s="1"/>
  <c r="S22" i="36"/>
  <c r="R22" i="36"/>
  <c r="S68" i="36"/>
  <c r="R68" i="36"/>
  <c r="U68" i="36" s="1"/>
  <c r="R216" i="36"/>
  <c r="U216" i="36" s="1"/>
  <c r="R165" i="36"/>
  <c r="U165" i="36" s="1"/>
  <c r="V165" i="36" s="1"/>
  <c r="G42" i="28"/>
  <c r="D78" i="36"/>
  <c r="E78" i="36" s="1"/>
  <c r="D37" i="36"/>
  <c r="E37" i="36" s="1"/>
  <c r="H42" i="28"/>
  <c r="K42" i="28"/>
  <c r="C304" i="39"/>
  <c r="C305" i="39" s="1"/>
  <c r="S18" i="36"/>
  <c r="R18" i="36"/>
  <c r="C264" i="36"/>
  <c r="C266" i="36" s="1"/>
  <c r="C268" i="36" s="1"/>
  <c r="E21" i="62"/>
  <c r="J38" i="28"/>
  <c r="R38" i="28" s="1"/>
  <c r="A23" i="30"/>
  <c r="A208" i="30"/>
  <c r="A222" i="30"/>
  <c r="L14" i="28"/>
  <c r="B16" i="41"/>
  <c r="B18" i="41" s="1"/>
  <c r="N12" i="28"/>
  <c r="Q12" i="28" s="1"/>
  <c r="N38" i="28"/>
  <c r="Q38" i="28" s="1"/>
  <c r="N49" i="28"/>
  <c r="Q49" i="28" s="1"/>
  <c r="M50" i="28"/>
  <c r="P50" i="28" s="1"/>
  <c r="M38" i="28"/>
  <c r="P38" i="28" s="1"/>
  <c r="L50" i="28"/>
  <c r="O50" i="28" s="1"/>
  <c r="L40" i="28"/>
  <c r="O40" i="28" s="1"/>
  <c r="M13" i="28"/>
  <c r="L13" i="28"/>
  <c r="N14" i="28"/>
  <c r="N39" i="28"/>
  <c r="Q39" i="28" s="1"/>
  <c r="N40" i="28"/>
  <c r="Q40" i="28" s="1"/>
  <c r="M40" i="28"/>
  <c r="P40" i="28" s="1"/>
  <c r="M42" i="28"/>
  <c r="L39" i="28"/>
  <c r="O39" i="28" s="1"/>
  <c r="L38" i="28"/>
  <c r="O38" i="28" s="1"/>
  <c r="N13" i="28"/>
  <c r="M14" i="28"/>
  <c r="N42" i="28"/>
  <c r="M41" i="28"/>
  <c r="P41" i="28" s="1"/>
  <c r="L42" i="28"/>
  <c r="N41" i="28"/>
  <c r="Q41" i="28" s="1"/>
  <c r="N11" i="28"/>
  <c r="Q11" i="28" s="1"/>
  <c r="N50" i="28"/>
  <c r="Q50" i="28" s="1"/>
  <c r="M39" i="28"/>
  <c r="P39" i="28" s="1"/>
  <c r="L49" i="28"/>
  <c r="O49" i="28" s="1"/>
  <c r="L12" i="28"/>
  <c r="O12" i="28" s="1"/>
  <c r="N51" i="28"/>
  <c r="Q51" i="28" s="1"/>
  <c r="M49" i="28"/>
  <c r="P49" i="28" s="1"/>
  <c r="L51" i="28"/>
  <c r="O51" i="28" s="1"/>
  <c r="M11" i="28"/>
  <c r="P11" i="28" s="1"/>
  <c r="M12" i="28"/>
  <c r="P12" i="28" s="1"/>
  <c r="M51" i="28"/>
  <c r="P51" i="28" s="1"/>
  <c r="L41" i="28"/>
  <c r="O41" i="28" s="1"/>
  <c r="L11" i="28"/>
  <c r="O11" i="28" s="1"/>
  <c r="C38" i="36"/>
  <c r="G38" i="36" s="1"/>
  <c r="J41" i="28"/>
  <c r="R41" i="28" s="1"/>
  <c r="A77" i="36"/>
  <c r="C79" i="36"/>
  <c r="G79" i="36" s="1"/>
  <c r="AB43" i="28"/>
  <c r="D44" i="28"/>
  <c r="A43" i="28"/>
  <c r="N43" i="28"/>
  <c r="AA43" i="28"/>
  <c r="L43" i="28"/>
  <c r="AC43" i="28"/>
  <c r="M43" i="28"/>
  <c r="J11" i="28"/>
  <c r="R11" i="28" s="1"/>
  <c r="AC15" i="28"/>
  <c r="A52" i="28"/>
  <c r="AB52" i="28"/>
  <c r="AC52" i="28"/>
  <c r="L52" i="28"/>
  <c r="M52" i="28"/>
  <c r="N52" i="28"/>
  <c r="AA52" i="28"/>
  <c r="J49" i="28"/>
  <c r="R49" i="28" s="1"/>
  <c r="J51" i="28"/>
  <c r="R51" i="28" s="1"/>
  <c r="J40" i="28"/>
  <c r="J12" i="28"/>
  <c r="R12" i="28" s="1"/>
  <c r="J39" i="28"/>
  <c r="J50" i="28"/>
  <c r="N191" i="36"/>
  <c r="C683" i="30"/>
  <c r="N190" i="36"/>
  <c r="R189" i="36"/>
  <c r="U189" i="36" s="1"/>
  <c r="N189" i="36"/>
  <c r="N15" i="28" l="1"/>
  <c r="AA15" i="28"/>
  <c r="I14" i="28"/>
  <c r="D30" i="73"/>
  <c r="C138" i="28"/>
  <c r="C140" i="28" s="1"/>
  <c r="C145" i="28" s="1"/>
  <c r="C147" i="28" s="1"/>
  <c r="M15" i="28"/>
  <c r="C16" i="28"/>
  <c r="F16" i="28" s="1"/>
  <c r="X15" i="28"/>
  <c r="H15" i="28" s="1"/>
  <c r="AB15" i="28"/>
  <c r="L15" i="28"/>
  <c r="D15" i="28"/>
  <c r="A15" i="28" s="1"/>
  <c r="G14" i="28"/>
  <c r="H14" i="28"/>
  <c r="AM94" i="73"/>
  <c r="U94" i="73" s="1"/>
  <c r="T94" i="73"/>
  <c r="AM95" i="73"/>
  <c r="U95" i="73" s="1"/>
  <c r="T95" i="73"/>
  <c r="C273" i="36"/>
  <c r="C275" i="36" s="1"/>
  <c r="C285" i="36" s="1"/>
  <c r="C294" i="36" s="1"/>
  <c r="C303" i="36" s="1"/>
  <c r="C309" i="36" s="1"/>
  <c r="C314" i="36" s="1"/>
  <c r="S270" i="39"/>
  <c r="U270" i="39" s="1"/>
  <c r="T270" i="39" s="1"/>
  <c r="BO22" i="73"/>
  <c r="BO18" i="73"/>
  <c r="BM19" i="73"/>
  <c r="J22" i="73"/>
  <c r="J20" i="73"/>
  <c r="BK22" i="73"/>
  <c r="AO22" i="73" s="1"/>
  <c r="BJ22" i="73"/>
  <c r="BN20" i="73"/>
  <c r="BK19" i="73"/>
  <c r="AO19" i="73" s="1"/>
  <c r="BJ18" i="73"/>
  <c r="BM23" i="73"/>
  <c r="BK20" i="73"/>
  <c r="AO20" i="73" s="1"/>
  <c r="BO17" i="73"/>
  <c r="BN18" i="73"/>
  <c r="BM17" i="73"/>
  <c r="BM21" i="73"/>
  <c r="BM16" i="73"/>
  <c r="BN16" i="73"/>
  <c r="BO21" i="73"/>
  <c r="BK18" i="73"/>
  <c r="AO18" i="73" s="1"/>
  <c r="J23" i="73"/>
  <c r="BO19" i="73"/>
  <c r="BJ20" i="73"/>
  <c r="BM22" i="73"/>
  <c r="BO20" i="73"/>
  <c r="BN23" i="73"/>
  <c r="BJ21" i="73"/>
  <c r="BK23" i="73"/>
  <c r="AO23" i="73" s="1"/>
  <c r="J18" i="73"/>
  <c r="J16" i="73"/>
  <c r="BM20" i="73"/>
  <c r="BJ19" i="73"/>
  <c r="BK16" i="73"/>
  <c r="AO16" i="73" s="1"/>
  <c r="BM18" i="73"/>
  <c r="BN17" i="73"/>
  <c r="BO16" i="73"/>
  <c r="BJ16" i="73"/>
  <c r="BJ17" i="73"/>
  <c r="BN22" i="73"/>
  <c r="BK17" i="73"/>
  <c r="AO17" i="73" s="1"/>
  <c r="J17" i="73"/>
  <c r="BJ23" i="73"/>
  <c r="BN21" i="73"/>
  <c r="J21" i="73"/>
  <c r="BK21" i="73"/>
  <c r="AO21" i="73" s="1"/>
  <c r="J19" i="73"/>
  <c r="BN19" i="73"/>
  <c r="BO23" i="73"/>
  <c r="AW41" i="73"/>
  <c r="AO96" i="73"/>
  <c r="AP96" i="73" s="1"/>
  <c r="AU96" i="73" s="1"/>
  <c r="BB96" i="73"/>
  <c r="X96" i="73" s="1"/>
  <c r="AW119" i="73"/>
  <c r="AW118" i="73"/>
  <c r="AO97" i="73"/>
  <c r="AP97" i="73" s="1"/>
  <c r="AU97" i="73" s="1"/>
  <c r="BB97" i="73"/>
  <c r="X97" i="73" s="1"/>
  <c r="O14" i="28"/>
  <c r="P14" i="28"/>
  <c r="Q14" i="28"/>
  <c r="P13" i="28"/>
  <c r="J13" i="28"/>
  <c r="Q13" i="28"/>
  <c r="O13" i="28"/>
  <c r="C66" i="28"/>
  <c r="F66" i="28" s="1"/>
  <c r="X65" i="28"/>
  <c r="D65" i="28"/>
  <c r="V68" i="36"/>
  <c r="V167" i="36"/>
  <c r="R50" i="39"/>
  <c r="S50" i="39" s="1"/>
  <c r="U50" i="39" s="1"/>
  <c r="T50" i="39" s="1"/>
  <c r="S47" i="39"/>
  <c r="U47" i="39" s="1"/>
  <c r="T47" i="39" s="1"/>
  <c r="R48" i="39"/>
  <c r="S48" i="39" s="1"/>
  <c r="U48" i="39" s="1"/>
  <c r="T48" i="39" s="1"/>
  <c r="R49" i="39"/>
  <c r="S49" i="39" s="1"/>
  <c r="U49" i="39" s="1"/>
  <c r="T49" i="39" s="1"/>
  <c r="V216" i="36"/>
  <c r="V220" i="36"/>
  <c r="V243" i="36"/>
  <c r="V244" i="36"/>
  <c r="L23" i="30"/>
  <c r="P23" i="30" s="1"/>
  <c r="I223" i="30"/>
  <c r="M223" i="30"/>
  <c r="O223" i="30" s="1"/>
  <c r="K223" i="30"/>
  <c r="J223" i="30"/>
  <c r="V69" i="36"/>
  <c r="V222" i="36"/>
  <c r="L222" i="30"/>
  <c r="P222" i="30" s="1"/>
  <c r="B194" i="41"/>
  <c r="J42" i="28"/>
  <c r="R42" i="28" s="1"/>
  <c r="R190" i="36"/>
  <c r="U190" i="36" s="1"/>
  <c r="V190" i="36" s="1"/>
  <c r="U177" i="36"/>
  <c r="V177" i="36" s="1"/>
  <c r="V168" i="36"/>
  <c r="V71" i="36"/>
  <c r="V217" i="36"/>
  <c r="L208" i="30"/>
  <c r="P208" i="30" s="1"/>
  <c r="V166" i="36"/>
  <c r="V219" i="36"/>
  <c r="V164" i="36"/>
  <c r="V75" i="36"/>
  <c r="J209" i="30"/>
  <c r="I209" i="30"/>
  <c r="K209" i="30"/>
  <c r="M209" i="30"/>
  <c r="O209" i="30" s="1"/>
  <c r="V245" i="36"/>
  <c r="R191" i="36"/>
  <c r="U191" i="36" s="1"/>
  <c r="V191" i="36" s="1"/>
  <c r="U182" i="36"/>
  <c r="V182" i="36" s="1"/>
  <c r="V34" i="36"/>
  <c r="V76" i="36"/>
  <c r="V221" i="36"/>
  <c r="V169" i="36"/>
  <c r="V218" i="36"/>
  <c r="V170" i="36"/>
  <c r="V70" i="36"/>
  <c r="U23" i="36"/>
  <c r="V23" i="36" s="1"/>
  <c r="V35" i="36"/>
  <c r="V32" i="36"/>
  <c r="V30" i="36"/>
  <c r="U22" i="36"/>
  <c r="V22" i="36" s="1"/>
  <c r="U19" i="36"/>
  <c r="V19" i="36" s="1"/>
  <c r="U21" i="36"/>
  <c r="V21" i="36" s="1"/>
  <c r="U20" i="36"/>
  <c r="V20" i="36" s="1"/>
  <c r="V31" i="36"/>
  <c r="V74" i="36"/>
  <c r="U18" i="36"/>
  <c r="V18" i="36" s="1"/>
  <c r="V28" i="36"/>
  <c r="V72" i="36"/>
  <c r="V33" i="36"/>
  <c r="S74" i="36"/>
  <c r="S28" i="36"/>
  <c r="S165" i="36"/>
  <c r="S220" i="36"/>
  <c r="S243" i="36"/>
  <c r="S191" i="36"/>
  <c r="S75" i="36"/>
  <c r="S71" i="36"/>
  <c r="S219" i="36"/>
  <c r="S164" i="36"/>
  <c r="S222" i="36"/>
  <c r="S34" i="36"/>
  <c r="S32" i="36"/>
  <c r="S30" i="36"/>
  <c r="S29" i="36"/>
  <c r="S218" i="36"/>
  <c r="S244" i="36"/>
  <c r="S190" i="36"/>
  <c r="S31" i="36"/>
  <c r="S216" i="36"/>
  <c r="S217" i="36"/>
  <c r="S73" i="36"/>
  <c r="S69" i="36"/>
  <c r="S168" i="36"/>
  <c r="S245" i="36"/>
  <c r="S33" i="36"/>
  <c r="S72" i="36"/>
  <c r="S70" i="36"/>
  <c r="S169" i="36"/>
  <c r="S221" i="36"/>
  <c r="S170" i="36"/>
  <c r="S166" i="36"/>
  <c r="O79" i="36"/>
  <c r="X79" i="36"/>
  <c r="O38" i="36"/>
  <c r="X38" i="36"/>
  <c r="Q36" i="36"/>
  <c r="S35" i="36"/>
  <c r="S76" i="36"/>
  <c r="Q77" i="36"/>
  <c r="N36" i="36"/>
  <c r="P37" i="36"/>
  <c r="Q37" i="36" s="1"/>
  <c r="L37" i="36"/>
  <c r="K37" i="36"/>
  <c r="M37" i="36"/>
  <c r="L78" i="36"/>
  <c r="P78" i="36"/>
  <c r="Q78" i="36" s="1"/>
  <c r="K78" i="36"/>
  <c r="M78" i="36"/>
  <c r="N77" i="36"/>
  <c r="P42" i="28"/>
  <c r="D79" i="36"/>
  <c r="E79" i="36" s="1"/>
  <c r="D38" i="36"/>
  <c r="E38" i="36" s="1"/>
  <c r="O42" i="28"/>
  <c r="Q42" i="28"/>
  <c r="C306" i="39"/>
  <c r="C308" i="39" s="1"/>
  <c r="C310" i="39" s="1"/>
  <c r="S38" i="28"/>
  <c r="U38" i="28"/>
  <c r="T38" i="28"/>
  <c r="A209" i="30"/>
  <c r="A223" i="30"/>
  <c r="B20" i="41"/>
  <c r="B22" i="41" s="1"/>
  <c r="B31" i="41" s="1"/>
  <c r="T41" i="28"/>
  <c r="Y269" i="39"/>
  <c r="Z269" i="39" s="1"/>
  <c r="R269" i="39" s="1"/>
  <c r="O189" i="36"/>
  <c r="O192" i="36" s="1"/>
  <c r="A37" i="36"/>
  <c r="C39" i="36"/>
  <c r="G39" i="36" s="1"/>
  <c r="S41" i="28"/>
  <c r="U41" i="28"/>
  <c r="S12" i="28"/>
  <c r="S49" i="28"/>
  <c r="U11" i="28"/>
  <c r="T49" i="28"/>
  <c r="U49" i="28"/>
  <c r="S11" i="28"/>
  <c r="T11" i="28"/>
  <c r="T51" i="28"/>
  <c r="T12" i="28"/>
  <c r="U51" i="28"/>
  <c r="S51" i="28"/>
  <c r="A78" i="36"/>
  <c r="C80" i="36"/>
  <c r="G80" i="36" s="1"/>
  <c r="I43" i="28"/>
  <c r="K43" i="28"/>
  <c r="H43" i="28"/>
  <c r="G43" i="28"/>
  <c r="U12" i="28"/>
  <c r="G15" i="28"/>
  <c r="K15" i="28"/>
  <c r="I15" i="28"/>
  <c r="I52" i="28"/>
  <c r="G52" i="28"/>
  <c r="K52" i="28"/>
  <c r="H52" i="28"/>
  <c r="AB53" i="28"/>
  <c r="A53" i="28"/>
  <c r="N53" i="28"/>
  <c r="M53" i="28"/>
  <c r="AC53" i="28"/>
  <c r="AA53" i="28"/>
  <c r="L53" i="28"/>
  <c r="D45" i="28"/>
  <c r="AB44" i="28"/>
  <c r="A44" i="28"/>
  <c r="AA44" i="28"/>
  <c r="N44" i="28"/>
  <c r="AC44" i="28"/>
  <c r="L44" i="28"/>
  <c r="M44" i="28"/>
  <c r="S40" i="28"/>
  <c r="S39" i="28"/>
  <c r="S50" i="28"/>
  <c r="U50" i="28"/>
  <c r="T50" i="28"/>
  <c r="R50" i="28"/>
  <c r="R40" i="28"/>
  <c r="U40" i="28"/>
  <c r="T40" i="28"/>
  <c r="R39" i="28"/>
  <c r="U39" i="28"/>
  <c r="T39" i="28"/>
  <c r="C684" i="30"/>
  <c r="C685" i="30" s="1"/>
  <c r="N192" i="36"/>
  <c r="AB16" i="28" l="1"/>
  <c r="N16" i="28"/>
  <c r="J14" i="28"/>
  <c r="R14" i="28" s="1"/>
  <c r="M16" i="28"/>
  <c r="C17" i="28"/>
  <c r="F17" i="28" s="1"/>
  <c r="X16" i="28"/>
  <c r="I16" i="28" s="1"/>
  <c r="AA16" i="28"/>
  <c r="D16" i="28"/>
  <c r="A16" i="28" s="1"/>
  <c r="L16" i="28"/>
  <c r="AC16" i="28"/>
  <c r="D38" i="73"/>
  <c r="AW38" i="73" s="1"/>
  <c r="D24" i="73"/>
  <c r="AW24" i="73" s="1"/>
  <c r="D39" i="73"/>
  <c r="AW39" i="73" s="1"/>
  <c r="S14" i="28"/>
  <c r="BL16" i="73"/>
  <c r="AA16" i="73" s="1"/>
  <c r="AH97" i="73"/>
  <c r="AG97" i="73" s="1"/>
  <c r="S97" i="73"/>
  <c r="V97" i="73" s="1"/>
  <c r="P97" i="73"/>
  <c r="Q97" i="73"/>
  <c r="R97" i="73"/>
  <c r="AH96" i="73"/>
  <c r="AG96" i="73" s="1"/>
  <c r="Q96" i="73"/>
  <c r="P96" i="73"/>
  <c r="R96" i="73"/>
  <c r="S96" i="73"/>
  <c r="V96" i="73" s="1"/>
  <c r="BL19" i="73"/>
  <c r="AA19" i="73" s="1"/>
  <c r="BL21" i="73"/>
  <c r="AA21" i="73" s="1"/>
  <c r="BL17" i="73"/>
  <c r="AA17" i="73" s="1"/>
  <c r="BP23" i="73"/>
  <c r="AB23" i="73" s="1"/>
  <c r="BL18" i="73"/>
  <c r="AA18" i="73" s="1"/>
  <c r="BP18" i="73"/>
  <c r="AB18" i="73" s="1"/>
  <c r="BP19" i="73"/>
  <c r="AB19" i="73" s="1"/>
  <c r="BP17" i="73"/>
  <c r="AB17" i="73" s="1"/>
  <c r="BP22" i="73"/>
  <c r="AB22" i="73" s="1"/>
  <c r="BP21" i="73"/>
  <c r="AB21" i="73" s="1"/>
  <c r="BL23" i="73"/>
  <c r="AA23" i="73" s="1"/>
  <c r="BP16" i="73"/>
  <c r="AB16" i="73" s="1"/>
  <c r="BP20" i="73"/>
  <c r="AB20" i="73" s="1"/>
  <c r="BL20" i="73"/>
  <c r="AA20" i="73" s="1"/>
  <c r="BL22" i="73"/>
  <c r="AA22" i="73" s="1"/>
  <c r="BG97" i="73"/>
  <c r="Z97" i="73" s="1"/>
  <c r="AE97" i="73" s="1"/>
  <c r="AD97" i="73" s="1"/>
  <c r="S269" i="39"/>
  <c r="U269" i="39" s="1"/>
  <c r="T269" i="39" s="1"/>
  <c r="BA95" i="73"/>
  <c r="BA94" i="73"/>
  <c r="S13" i="28"/>
  <c r="BG96" i="73"/>
  <c r="Z96" i="73" s="1"/>
  <c r="AE96" i="73" s="1"/>
  <c r="AD96" i="73" s="1"/>
  <c r="T13" i="28"/>
  <c r="U13" i="28"/>
  <c r="R13" i="28"/>
  <c r="D17" i="28"/>
  <c r="A17" i="28" s="1"/>
  <c r="X17" i="28"/>
  <c r="C67" i="28"/>
  <c r="F67" i="28" s="1"/>
  <c r="X66" i="28"/>
  <c r="D66" i="28"/>
  <c r="S36" i="36"/>
  <c r="R192" i="36"/>
  <c r="U192" i="36" s="1"/>
  <c r="V192" i="36" s="1"/>
  <c r="S42" i="28"/>
  <c r="L223" i="30"/>
  <c r="P223" i="30" s="1"/>
  <c r="I210" i="30"/>
  <c r="M210" i="30"/>
  <c r="O210" i="30" s="1"/>
  <c r="K210" i="30"/>
  <c r="J210" i="30"/>
  <c r="M224" i="30"/>
  <c r="O224" i="30" s="1"/>
  <c r="K224" i="30"/>
  <c r="I224" i="30"/>
  <c r="J224" i="30"/>
  <c r="L209" i="30"/>
  <c r="B196" i="41"/>
  <c r="U42" i="28"/>
  <c r="T42" i="28"/>
  <c r="P209" i="30"/>
  <c r="V189" i="36"/>
  <c r="O80" i="36"/>
  <c r="X80" i="36"/>
  <c r="O39" i="36"/>
  <c r="X39" i="36"/>
  <c r="R36" i="36"/>
  <c r="U36" i="36" s="1"/>
  <c r="V36" i="36" s="1"/>
  <c r="M38" i="36"/>
  <c r="P38" i="36"/>
  <c r="Q38" i="36" s="1"/>
  <c r="L38" i="36"/>
  <c r="K38" i="36"/>
  <c r="N78" i="36"/>
  <c r="N37" i="36"/>
  <c r="L79" i="36"/>
  <c r="K79" i="36"/>
  <c r="P79" i="36"/>
  <c r="Q79" i="36" s="1"/>
  <c r="M79" i="36"/>
  <c r="R77" i="36"/>
  <c r="U77" i="36" s="1"/>
  <c r="V77" i="36" s="1"/>
  <c r="S77" i="36"/>
  <c r="D80" i="36"/>
  <c r="E80" i="36" s="1"/>
  <c r="D39" i="36"/>
  <c r="E39" i="36" s="1"/>
  <c r="A210" i="30"/>
  <c r="A224" i="30"/>
  <c r="Q189" i="36"/>
  <c r="Q192" i="36" s="1"/>
  <c r="S189" i="36"/>
  <c r="S192" i="36" s="1"/>
  <c r="A38" i="36"/>
  <c r="C40" i="36"/>
  <c r="G40" i="36" s="1"/>
  <c r="J43" i="28"/>
  <c r="R43" i="28" s="1"/>
  <c r="A79" i="36"/>
  <c r="C81" i="36"/>
  <c r="G81" i="36" s="1"/>
  <c r="Q52" i="28"/>
  <c r="O52" i="28"/>
  <c r="P52" i="28"/>
  <c r="AA17" i="28"/>
  <c r="N17" i="28"/>
  <c r="M17" i="28"/>
  <c r="AC17" i="28"/>
  <c r="I44" i="28"/>
  <c r="H44" i="28"/>
  <c r="G44" i="28"/>
  <c r="K44" i="28"/>
  <c r="AC45" i="28"/>
  <c r="AB45" i="28"/>
  <c r="D46" i="28"/>
  <c r="A45" i="28"/>
  <c r="N45" i="28"/>
  <c r="AA45" i="28"/>
  <c r="L45" i="28"/>
  <c r="M45" i="28"/>
  <c r="J15" i="28"/>
  <c r="R15" i="28" s="1"/>
  <c r="Q43" i="28"/>
  <c r="O43" i="28"/>
  <c r="P43" i="28"/>
  <c r="H53" i="28"/>
  <c r="G53" i="28"/>
  <c r="K53" i="28"/>
  <c r="I53" i="28"/>
  <c r="J52" i="28"/>
  <c r="G16" i="28"/>
  <c r="K16" i="28"/>
  <c r="L54" i="28"/>
  <c r="N54" i="28"/>
  <c r="M54" i="28"/>
  <c r="AA54" i="28"/>
  <c r="AC54" i="28"/>
  <c r="AB54" i="28"/>
  <c r="A54" i="28"/>
  <c r="O15" i="28"/>
  <c r="P15" i="28"/>
  <c r="Q15" i="28"/>
  <c r="T14" i="28" l="1"/>
  <c r="U14" i="28"/>
  <c r="H16" i="28"/>
  <c r="AB17" i="28"/>
  <c r="C18" i="28"/>
  <c r="L17" i="28"/>
  <c r="D22" i="73"/>
  <c r="AW22" i="73" s="1"/>
  <c r="F18" i="28"/>
  <c r="BQ17" i="73"/>
  <c r="AC17" i="73" s="1"/>
  <c r="BQ18" i="73"/>
  <c r="AC18" i="73" s="1"/>
  <c r="BQ22" i="73"/>
  <c r="AC22" i="73" s="1"/>
  <c r="BQ16" i="73"/>
  <c r="AC16" i="73" s="1"/>
  <c r="BQ23" i="73"/>
  <c r="AC23" i="73" s="1"/>
  <c r="BQ21" i="73"/>
  <c r="AC21" i="73" s="1"/>
  <c r="BQ20" i="73"/>
  <c r="AC20" i="73" s="1"/>
  <c r="BQ19" i="73"/>
  <c r="AC19" i="73" s="1"/>
  <c r="AO94" i="73"/>
  <c r="AP94" i="73" s="1"/>
  <c r="AU94" i="73" s="1"/>
  <c r="BB94" i="73"/>
  <c r="X94" i="73" s="1"/>
  <c r="BB95" i="73"/>
  <c r="X95" i="73" s="1"/>
  <c r="D18" i="28"/>
  <c r="A18" i="28" s="1"/>
  <c r="X18" i="28"/>
  <c r="C68" i="28"/>
  <c r="F68" i="28" s="1"/>
  <c r="X67" i="28"/>
  <c r="D67" i="28"/>
  <c r="L224" i="30"/>
  <c r="P224" i="30" s="1"/>
  <c r="L210" i="30"/>
  <c r="P210" i="30" s="1"/>
  <c r="M211" i="30"/>
  <c r="O211" i="30" s="1"/>
  <c r="K211" i="30"/>
  <c r="I211" i="30"/>
  <c r="J211" i="30"/>
  <c r="K225" i="30"/>
  <c r="J225" i="30"/>
  <c r="M225" i="30"/>
  <c r="O225" i="30" s="1"/>
  <c r="I225" i="30"/>
  <c r="B202" i="41"/>
  <c r="B207" i="41" s="1"/>
  <c r="B210" i="41" s="1"/>
  <c r="B212" i="41" s="1"/>
  <c r="O40" i="36"/>
  <c r="X40" i="36"/>
  <c r="O81" i="36"/>
  <c r="X81" i="36"/>
  <c r="N79" i="36"/>
  <c r="S37" i="36"/>
  <c r="R37" i="36"/>
  <c r="U37" i="36" s="1"/>
  <c r="V37" i="36" s="1"/>
  <c r="P39" i="36"/>
  <c r="Q39" i="36" s="1"/>
  <c r="K39" i="36"/>
  <c r="M39" i="36"/>
  <c r="L39" i="36"/>
  <c r="K80" i="36"/>
  <c r="P80" i="36"/>
  <c r="Q80" i="36" s="1"/>
  <c r="L80" i="36"/>
  <c r="M80" i="36"/>
  <c r="R78" i="36"/>
  <c r="U78" i="36" s="1"/>
  <c r="V78" i="36" s="1"/>
  <c r="S78" i="36"/>
  <c r="N38" i="36"/>
  <c r="D40" i="36"/>
  <c r="E40" i="36" s="1"/>
  <c r="D81" i="36"/>
  <c r="E81" i="36" s="1"/>
  <c r="A226" i="30"/>
  <c r="A212" i="30"/>
  <c r="A211" i="30"/>
  <c r="A225" i="30"/>
  <c r="S43" i="28"/>
  <c r="A39" i="36"/>
  <c r="C41" i="36"/>
  <c r="G41" i="36" s="1"/>
  <c r="S15" i="28"/>
  <c r="T15" i="28"/>
  <c r="U15" i="28"/>
  <c r="T43" i="28"/>
  <c r="U43" i="28"/>
  <c r="C82" i="36"/>
  <c r="G82" i="36" s="1"/>
  <c r="A80" i="36"/>
  <c r="K54" i="28"/>
  <c r="H54" i="28"/>
  <c r="I54" i="28"/>
  <c r="G54" i="28"/>
  <c r="J16" i="28"/>
  <c r="U52" i="28"/>
  <c r="T52" i="28"/>
  <c r="S52" i="28"/>
  <c r="R52" i="28"/>
  <c r="K45" i="28"/>
  <c r="G45" i="28"/>
  <c r="I45" i="28"/>
  <c r="H45" i="28"/>
  <c r="J44" i="28"/>
  <c r="H17" i="28"/>
  <c r="G17" i="28"/>
  <c r="K17" i="28"/>
  <c r="I17" i="28"/>
  <c r="O16" i="28"/>
  <c r="P16" i="28"/>
  <c r="Q16" i="28"/>
  <c r="P53" i="28"/>
  <c r="O53" i="28"/>
  <c r="Q53" i="28"/>
  <c r="N55" i="28"/>
  <c r="M55" i="28"/>
  <c r="L55" i="28"/>
  <c r="AB55" i="28"/>
  <c r="AA55" i="28"/>
  <c r="AC55" i="28"/>
  <c r="A55" i="28"/>
  <c r="J53" i="28"/>
  <c r="R53" i="28" s="1"/>
  <c r="D47" i="28"/>
  <c r="A46" i="28"/>
  <c r="M46" i="28"/>
  <c r="L46" i="28"/>
  <c r="AC46" i="28"/>
  <c r="N46" i="28"/>
  <c r="AA46" i="28"/>
  <c r="AB46" i="28"/>
  <c r="O44" i="28"/>
  <c r="Q44" i="28"/>
  <c r="P44" i="28"/>
  <c r="C19" i="28"/>
  <c r="M18" i="28"/>
  <c r="AC18" i="28"/>
  <c r="AA18" i="28"/>
  <c r="L18" i="28"/>
  <c r="N18" i="28"/>
  <c r="AB18" i="28"/>
  <c r="D23" i="73" l="1"/>
  <c r="AW23" i="73" s="1"/>
  <c r="D46" i="73"/>
  <c r="AW46" i="73" s="1"/>
  <c r="D26" i="73"/>
  <c r="D45" i="73"/>
  <c r="AW45" i="73" s="1"/>
  <c r="D25" i="73"/>
  <c r="AW25" i="73" s="1"/>
  <c r="D27" i="73"/>
  <c r="F19" i="28"/>
  <c r="I24" i="73"/>
  <c r="BI24" i="73" s="1"/>
  <c r="AH94" i="73"/>
  <c r="AG94" i="73" s="1"/>
  <c r="R94" i="73"/>
  <c r="P94" i="73"/>
  <c r="S94" i="73"/>
  <c r="V94" i="73" s="1"/>
  <c r="Q94" i="73"/>
  <c r="BJ119" i="73"/>
  <c r="J80" i="73"/>
  <c r="BJ116" i="73"/>
  <c r="BK114" i="73"/>
  <c r="AO114" i="73" s="1"/>
  <c r="BO37" i="73"/>
  <c r="BK111" i="73"/>
  <c r="BM30" i="73"/>
  <c r="BM35" i="73"/>
  <c r="BO111" i="73"/>
  <c r="BN32" i="73"/>
  <c r="BM118" i="73"/>
  <c r="BK113" i="73"/>
  <c r="AO113" i="73" s="1"/>
  <c r="BK41" i="73"/>
  <c r="AO41" i="73" s="1"/>
  <c r="BO119" i="73"/>
  <c r="BN35" i="73"/>
  <c r="BJ38" i="73"/>
  <c r="BK36" i="73"/>
  <c r="AO36" i="73" s="1"/>
  <c r="BO32" i="73"/>
  <c r="BM78" i="73"/>
  <c r="BM47" i="73"/>
  <c r="BN111" i="73"/>
  <c r="BO31" i="73"/>
  <c r="BO35" i="73"/>
  <c r="BO47" i="73"/>
  <c r="BN34" i="73"/>
  <c r="BM36" i="73"/>
  <c r="BM116" i="73"/>
  <c r="BO36" i="73"/>
  <c r="BM41" i="73"/>
  <c r="BO112" i="73"/>
  <c r="BN79" i="73"/>
  <c r="BN28" i="73"/>
  <c r="BM46" i="73"/>
  <c r="BM38" i="73"/>
  <c r="BM28" i="73"/>
  <c r="BN116" i="73"/>
  <c r="BJ47" i="73"/>
  <c r="BM95" i="73"/>
  <c r="J48" i="73"/>
  <c r="BO95" i="73"/>
  <c r="AS95" i="73" s="1"/>
  <c r="BO41" i="73"/>
  <c r="BO28" i="73"/>
  <c r="BK42" i="73"/>
  <c r="AO42" i="73" s="1"/>
  <c r="BJ46" i="73"/>
  <c r="BN41" i="73"/>
  <c r="BO27" i="73"/>
  <c r="J78" i="73"/>
  <c r="BJ111" i="73"/>
  <c r="BO115" i="73"/>
  <c r="AS115" i="73" s="1"/>
  <c r="BO113" i="73"/>
  <c r="BM80" i="73"/>
  <c r="BN37" i="73"/>
  <c r="BK118" i="73"/>
  <c r="AO118" i="73" s="1"/>
  <c r="J114" i="73"/>
  <c r="BM29" i="73"/>
  <c r="BJ34" i="73"/>
  <c r="BJ40" i="73"/>
  <c r="BO44" i="73"/>
  <c r="BM79" i="73"/>
  <c r="BK116" i="73"/>
  <c r="AO116" i="73" s="1"/>
  <c r="BN45" i="73"/>
  <c r="BM32" i="73"/>
  <c r="BO26" i="73"/>
  <c r="BK33" i="73"/>
  <c r="AO33" i="73" s="1"/>
  <c r="BK119" i="73"/>
  <c r="AO119" i="73" s="1"/>
  <c r="BJ48" i="73"/>
  <c r="J27" i="73"/>
  <c r="BO80" i="73"/>
  <c r="AS80" i="73" s="1"/>
  <c r="BO78" i="73"/>
  <c r="BM42" i="73"/>
  <c r="BN118" i="73"/>
  <c r="BJ36" i="73"/>
  <c r="BJ110" i="73"/>
  <c r="BO33" i="73"/>
  <c r="BJ78" i="73"/>
  <c r="J111" i="73"/>
  <c r="BN115" i="73"/>
  <c r="AR115" i="73" s="1"/>
  <c r="BM40" i="73"/>
  <c r="BM119" i="73"/>
  <c r="BK117" i="73"/>
  <c r="AO117" i="73" s="1"/>
  <c r="BO30" i="73"/>
  <c r="BM117" i="73"/>
  <c r="J46" i="73"/>
  <c r="BN117" i="73"/>
  <c r="BN80" i="73"/>
  <c r="AR80" i="73" s="1"/>
  <c r="BJ95" i="73"/>
  <c r="BJ79" i="73"/>
  <c r="BM111" i="73"/>
  <c r="J112" i="73"/>
  <c r="BK34" i="73"/>
  <c r="AO34" i="73" s="1"/>
  <c r="BJ118" i="73"/>
  <c r="BN119" i="73"/>
  <c r="BN31" i="73"/>
  <c r="BM26" i="73"/>
  <c r="J36" i="73"/>
  <c r="J33" i="73"/>
  <c r="BM113" i="73"/>
  <c r="BO48" i="73"/>
  <c r="BN95" i="73"/>
  <c r="AR95" i="73" s="1"/>
  <c r="J113" i="73"/>
  <c r="BM115" i="73"/>
  <c r="BK32" i="73"/>
  <c r="AO32" i="73" s="1"/>
  <c r="J31" i="73"/>
  <c r="J47" i="73"/>
  <c r="J116" i="73"/>
  <c r="BK95" i="73"/>
  <c r="AO95" i="73" s="1"/>
  <c r="J26" i="73"/>
  <c r="BK31" i="73"/>
  <c r="AO31" i="73" s="1"/>
  <c r="J118" i="73"/>
  <c r="BN36" i="73"/>
  <c r="BN42" i="73"/>
  <c r="BN112" i="73"/>
  <c r="J79" i="73"/>
  <c r="BN114" i="73"/>
  <c r="BM110" i="73"/>
  <c r="BK38" i="73"/>
  <c r="AO38" i="73" s="1"/>
  <c r="BN40" i="73"/>
  <c r="BK80" i="73"/>
  <c r="AO80" i="73" s="1"/>
  <c r="BM112" i="73"/>
  <c r="J117" i="73"/>
  <c r="BN30" i="73"/>
  <c r="BN78" i="73"/>
  <c r="BN29" i="73"/>
  <c r="BO39" i="73"/>
  <c r="BK45" i="73"/>
  <c r="AO45" i="73" s="1"/>
  <c r="J35" i="73"/>
  <c r="J44" i="73"/>
  <c r="BM33" i="73"/>
  <c r="BK48" i="73"/>
  <c r="AO48" i="73" s="1"/>
  <c r="BK78" i="73"/>
  <c r="AO78" i="73" s="1"/>
  <c r="BM45" i="73"/>
  <c r="BM44" i="73"/>
  <c r="BN43" i="73"/>
  <c r="BO114" i="73"/>
  <c r="J34" i="73"/>
  <c r="J119" i="73"/>
  <c r="BO38" i="73"/>
  <c r="BN39" i="73"/>
  <c r="BO118" i="73"/>
  <c r="BO117" i="73"/>
  <c r="BN113" i="73"/>
  <c r="BM27" i="73"/>
  <c r="BK40" i="73"/>
  <c r="J41" i="73"/>
  <c r="BO110" i="73"/>
  <c r="BM37" i="73"/>
  <c r="BK35" i="73"/>
  <c r="J95" i="73"/>
  <c r="BK26" i="73"/>
  <c r="AO26" i="73" s="1"/>
  <c r="BK79" i="73"/>
  <c r="AO79" i="73" s="1"/>
  <c r="BK27" i="73"/>
  <c r="AO27" i="73" s="1"/>
  <c r="BJ26" i="73"/>
  <c r="BN38" i="73"/>
  <c r="BO34" i="73"/>
  <c r="BM48" i="73"/>
  <c r="BJ117" i="73"/>
  <c r="J29" i="73"/>
  <c r="BJ42" i="73"/>
  <c r="BN33" i="73"/>
  <c r="BN44" i="73"/>
  <c r="BM39" i="73"/>
  <c r="J40" i="73"/>
  <c r="BN110" i="73"/>
  <c r="BO116" i="73"/>
  <c r="BJ80" i="73"/>
  <c r="J39" i="73"/>
  <c r="BJ39" i="73"/>
  <c r="BO29" i="73"/>
  <c r="BN27" i="73"/>
  <c r="BO79" i="73"/>
  <c r="BO40" i="73"/>
  <c r="AW32" i="73"/>
  <c r="BG94" i="73"/>
  <c r="Z94" i="73" s="1"/>
  <c r="AE94" i="73" s="1"/>
  <c r="AD94" i="73" s="1"/>
  <c r="BG95" i="73"/>
  <c r="Z95" i="73" s="1"/>
  <c r="D19" i="28"/>
  <c r="A19" i="28" s="1"/>
  <c r="X19" i="28"/>
  <c r="C69" i="28"/>
  <c r="F69" i="28" s="1"/>
  <c r="X68" i="28"/>
  <c r="D68" i="28"/>
  <c r="L211" i="30"/>
  <c r="P211" i="30" s="1"/>
  <c r="L225" i="30"/>
  <c r="P225" i="30" s="1"/>
  <c r="J226" i="30"/>
  <c r="I226" i="30"/>
  <c r="K226" i="30"/>
  <c r="M226" i="30"/>
  <c r="O226" i="30" s="1"/>
  <c r="K212" i="30"/>
  <c r="J212" i="30"/>
  <c r="M212" i="30"/>
  <c r="O212" i="30" s="1"/>
  <c r="I212" i="30"/>
  <c r="O82" i="36"/>
  <c r="X82" i="36"/>
  <c r="O41" i="36"/>
  <c r="X41" i="36"/>
  <c r="S38" i="36"/>
  <c r="R38" i="36"/>
  <c r="U38" i="36" s="1"/>
  <c r="V38" i="36" s="1"/>
  <c r="M81" i="36"/>
  <c r="K81" i="36"/>
  <c r="P81" i="36"/>
  <c r="Q81" i="36" s="1"/>
  <c r="L81" i="36"/>
  <c r="N39" i="36"/>
  <c r="N80" i="36"/>
  <c r="R79" i="36"/>
  <c r="U79" i="36" s="1"/>
  <c r="V79" i="36" s="1"/>
  <c r="S79" i="36"/>
  <c r="P40" i="36"/>
  <c r="Q40" i="36" s="1"/>
  <c r="M40" i="36"/>
  <c r="K40" i="36"/>
  <c r="L40" i="36"/>
  <c r="T16" i="28"/>
  <c r="D82" i="36"/>
  <c r="E82" i="36" s="1"/>
  <c r="D41" i="36"/>
  <c r="E41" i="36" s="1"/>
  <c r="U44" i="28"/>
  <c r="A40" i="36"/>
  <c r="C42" i="36"/>
  <c r="G42" i="36" s="1"/>
  <c r="U16" i="28"/>
  <c r="T44" i="28"/>
  <c r="S53" i="28"/>
  <c r="J17" i="28"/>
  <c r="R17" i="28" s="1"/>
  <c r="A81" i="36"/>
  <c r="C83" i="36"/>
  <c r="G83" i="36" s="1"/>
  <c r="I18" i="28"/>
  <c r="K18" i="28"/>
  <c r="G18" i="28"/>
  <c r="H18" i="28"/>
  <c r="U53" i="28"/>
  <c r="Q17" i="28"/>
  <c r="O17" i="28"/>
  <c r="P17" i="28"/>
  <c r="J54" i="28"/>
  <c r="N19" i="28"/>
  <c r="C20" i="28"/>
  <c r="F20" i="28" s="1"/>
  <c r="AC19" i="28"/>
  <c r="AA19" i="28"/>
  <c r="AB19" i="28"/>
  <c r="M19" i="28"/>
  <c r="L19" i="28"/>
  <c r="K46" i="28"/>
  <c r="H46" i="28"/>
  <c r="I46" i="28"/>
  <c r="G46" i="28"/>
  <c r="D48" i="28"/>
  <c r="AB47" i="28"/>
  <c r="A47" i="28"/>
  <c r="M47" i="28"/>
  <c r="N47" i="28"/>
  <c r="L47" i="28"/>
  <c r="AA47" i="28"/>
  <c r="AC47" i="28"/>
  <c r="N56" i="28"/>
  <c r="M56" i="28"/>
  <c r="L56" i="28"/>
  <c r="A56" i="28"/>
  <c r="AB56" i="28"/>
  <c r="AC56" i="28"/>
  <c r="AA56" i="28"/>
  <c r="T53" i="28"/>
  <c r="J45" i="28"/>
  <c r="R16" i="28"/>
  <c r="S16" i="28"/>
  <c r="H55" i="28"/>
  <c r="K55" i="28"/>
  <c r="G55" i="28"/>
  <c r="I55" i="28"/>
  <c r="R44" i="28"/>
  <c r="S44" i="28"/>
  <c r="O45" i="28"/>
  <c r="P45" i="28"/>
  <c r="Q45" i="28"/>
  <c r="Q54" i="28"/>
  <c r="P54" i="28"/>
  <c r="O54" i="28"/>
  <c r="BK24" i="73" l="1"/>
  <c r="AO24" i="73" s="1"/>
  <c r="BP32" i="73"/>
  <c r="AB32" i="73" s="1"/>
  <c r="BM24" i="73"/>
  <c r="BN24" i="73"/>
  <c r="BO24" i="73"/>
  <c r="BJ24" i="73"/>
  <c r="BP112" i="73"/>
  <c r="AB112" i="73" s="1"/>
  <c r="BL117" i="73"/>
  <c r="AA117" i="73" s="1"/>
  <c r="BP116" i="73"/>
  <c r="AB116" i="73" s="1"/>
  <c r="BL118" i="73"/>
  <c r="AA118" i="73" s="1"/>
  <c r="BP119" i="73"/>
  <c r="AB119" i="73" s="1"/>
  <c r="BP113" i="73"/>
  <c r="AB113" i="73" s="1"/>
  <c r="BP29" i="73"/>
  <c r="AB29" i="73" s="1"/>
  <c r="BP36" i="73"/>
  <c r="AB36" i="73" s="1"/>
  <c r="BL40" i="73"/>
  <c r="AA40" i="73" s="1"/>
  <c r="AO40" i="73"/>
  <c r="BL79" i="73"/>
  <c r="AA79" i="73" s="1"/>
  <c r="BL34" i="73"/>
  <c r="AA34" i="73" s="1"/>
  <c r="BP28" i="73"/>
  <c r="AB28" i="73" s="1"/>
  <c r="BL111" i="73"/>
  <c r="AA111" i="73" s="1"/>
  <c r="AO111" i="73"/>
  <c r="BP27" i="73"/>
  <c r="AB27" i="73" s="1"/>
  <c r="BL36" i="73"/>
  <c r="AA36" i="73" s="1"/>
  <c r="BL48" i="73"/>
  <c r="AA48" i="73" s="1"/>
  <c r="AQ80" i="73"/>
  <c r="AT80" i="73" s="1"/>
  <c r="BP80" i="73"/>
  <c r="AB80" i="73" s="1"/>
  <c r="BP39" i="73"/>
  <c r="AB39" i="73" s="1"/>
  <c r="BL78" i="73"/>
  <c r="AA78" i="73" s="1"/>
  <c r="BP38" i="73"/>
  <c r="AB38" i="73" s="1"/>
  <c r="BP41" i="73"/>
  <c r="AB41" i="73" s="1"/>
  <c r="BP78" i="73"/>
  <c r="AB78" i="73" s="1"/>
  <c r="BP118" i="73"/>
  <c r="AB118" i="73" s="1"/>
  <c r="AO35" i="73"/>
  <c r="BP115" i="73"/>
  <c r="AB115" i="73" s="1"/>
  <c r="AQ115" i="73"/>
  <c r="AT115" i="73" s="1"/>
  <c r="BP37" i="73"/>
  <c r="AB37" i="73" s="1"/>
  <c r="BP110" i="73"/>
  <c r="AB110" i="73" s="1"/>
  <c r="BP79" i="73"/>
  <c r="AB79" i="73" s="1"/>
  <c r="AQ95" i="73"/>
  <c r="AT95" i="73" s="1"/>
  <c r="BP95" i="73"/>
  <c r="AB95" i="73" s="1"/>
  <c r="BL38" i="73"/>
  <c r="AA38" i="73" s="1"/>
  <c r="BP35" i="73"/>
  <c r="AB35" i="73" s="1"/>
  <c r="BL80" i="73"/>
  <c r="AA80" i="73" s="1"/>
  <c r="AN80" i="73"/>
  <c r="AP80" i="73" s="1"/>
  <c r="BL42" i="73"/>
  <c r="AA42" i="73" s="1"/>
  <c r="BL26" i="73"/>
  <c r="AA26" i="73" s="1"/>
  <c r="BL95" i="73"/>
  <c r="AA95" i="73" s="1"/>
  <c r="AN95" i="73"/>
  <c r="AP95" i="73" s="1"/>
  <c r="BP44" i="73"/>
  <c r="AB44" i="73" s="1"/>
  <c r="BP33" i="73"/>
  <c r="AB33" i="73" s="1"/>
  <c r="BP111" i="73"/>
  <c r="AB111" i="73" s="1"/>
  <c r="BP117" i="73"/>
  <c r="AB117" i="73" s="1"/>
  <c r="BP40" i="73"/>
  <c r="AB40" i="73" s="1"/>
  <c r="BP30" i="73"/>
  <c r="AB30" i="73" s="1"/>
  <c r="BL116" i="73"/>
  <c r="AA116" i="73" s="1"/>
  <c r="BL119" i="73"/>
  <c r="AA119" i="73" s="1"/>
  <c r="C70" i="28"/>
  <c r="F70" i="28" s="1"/>
  <c r="X69" i="28"/>
  <c r="D69" i="28"/>
  <c r="D20" i="28"/>
  <c r="A20" i="28" s="1"/>
  <c r="X20" i="28"/>
  <c r="L226" i="30"/>
  <c r="P226" i="30" s="1"/>
  <c r="L212" i="30"/>
  <c r="P212" i="30" s="1"/>
  <c r="O42" i="36"/>
  <c r="X42" i="36"/>
  <c r="O83" i="36"/>
  <c r="X83" i="36"/>
  <c r="S39" i="36"/>
  <c r="R39" i="36"/>
  <c r="U39" i="36" s="1"/>
  <c r="V39" i="36" s="1"/>
  <c r="N40" i="36"/>
  <c r="P82" i="36"/>
  <c r="Q82" i="36" s="1"/>
  <c r="L82" i="36"/>
  <c r="K82" i="36"/>
  <c r="M82" i="36"/>
  <c r="M41" i="36"/>
  <c r="L41" i="36"/>
  <c r="P41" i="36"/>
  <c r="Q41" i="36" s="1"/>
  <c r="K41" i="36"/>
  <c r="S80" i="36"/>
  <c r="R80" i="36"/>
  <c r="U80" i="36" s="1"/>
  <c r="V80" i="36" s="1"/>
  <c r="N81" i="36"/>
  <c r="D42" i="36"/>
  <c r="E42" i="36" s="1"/>
  <c r="D83" i="36"/>
  <c r="E83" i="36" s="1"/>
  <c r="A41" i="36"/>
  <c r="C43" i="36"/>
  <c r="G43" i="36" s="1"/>
  <c r="S17" i="28"/>
  <c r="U17" i="28"/>
  <c r="T17" i="28"/>
  <c r="J55" i="28"/>
  <c r="R55" i="28" s="1"/>
  <c r="A82" i="36"/>
  <c r="C84" i="36"/>
  <c r="G84" i="36" s="1"/>
  <c r="I47" i="28"/>
  <c r="H47" i="28"/>
  <c r="K47" i="28"/>
  <c r="G47" i="28"/>
  <c r="J46" i="28"/>
  <c r="J18" i="28"/>
  <c r="T45" i="28"/>
  <c r="S45" i="28"/>
  <c r="U45" i="28"/>
  <c r="R45" i="28"/>
  <c r="H56" i="28"/>
  <c r="K56" i="28"/>
  <c r="G56" i="28"/>
  <c r="I56" i="28"/>
  <c r="U54" i="28"/>
  <c r="R54" i="28"/>
  <c r="T54" i="28"/>
  <c r="S54" i="28"/>
  <c r="O55" i="28"/>
  <c r="P55" i="28"/>
  <c r="Q55" i="28"/>
  <c r="N57" i="28"/>
  <c r="M57" i="28"/>
  <c r="L57" i="28"/>
  <c r="AB57" i="28"/>
  <c r="AA57" i="28"/>
  <c r="A57" i="28"/>
  <c r="AC57" i="28"/>
  <c r="AC20" i="28"/>
  <c r="C21" i="28"/>
  <c r="F21" i="28" s="1"/>
  <c r="N20" i="28"/>
  <c r="L20" i="28"/>
  <c r="M20" i="28"/>
  <c r="AA20" i="28"/>
  <c r="AB20" i="28"/>
  <c r="H19" i="28"/>
  <c r="K19" i="28"/>
  <c r="I19" i="28"/>
  <c r="G19" i="28"/>
  <c r="P18" i="28"/>
  <c r="O18" i="28"/>
  <c r="Q18" i="28"/>
  <c r="A48" i="28"/>
  <c r="AB48" i="28"/>
  <c r="AC48" i="28"/>
  <c r="M48" i="28"/>
  <c r="L48" i="28"/>
  <c r="N48" i="28"/>
  <c r="AA48" i="28"/>
  <c r="Q46" i="28"/>
  <c r="O46" i="28"/>
  <c r="P46" i="28"/>
  <c r="D40" i="73" l="1"/>
  <c r="AW40" i="73" s="1"/>
  <c r="BL24" i="73"/>
  <c r="AA24" i="73" s="1"/>
  <c r="BP24" i="73"/>
  <c r="AB24" i="73" s="1"/>
  <c r="AU95" i="73"/>
  <c r="AU80" i="73"/>
  <c r="BQ118" i="73"/>
  <c r="AC118" i="73" s="1"/>
  <c r="BQ116" i="73"/>
  <c r="AC116" i="73" s="1"/>
  <c r="BQ80" i="73"/>
  <c r="AC80" i="73" s="1"/>
  <c r="AE80" i="73" s="1"/>
  <c r="AD80" i="73" s="1"/>
  <c r="BQ36" i="73"/>
  <c r="AC36" i="73" s="1"/>
  <c r="BQ111" i="73"/>
  <c r="AC111" i="73" s="1"/>
  <c r="BQ40" i="73"/>
  <c r="AC40" i="73" s="1"/>
  <c r="BQ117" i="73"/>
  <c r="AC117" i="73" s="1"/>
  <c r="BQ95" i="73"/>
  <c r="AC95" i="73" s="1"/>
  <c r="AE95" i="73" s="1"/>
  <c r="AD95" i="73" s="1"/>
  <c r="BQ38" i="73"/>
  <c r="AC38" i="73" s="1"/>
  <c r="BQ119" i="73"/>
  <c r="AC119" i="73" s="1"/>
  <c r="BQ78" i="73"/>
  <c r="AC78" i="73" s="1"/>
  <c r="BQ79" i="73"/>
  <c r="AC79" i="73" s="1"/>
  <c r="D21" i="28"/>
  <c r="A21" i="28" s="1"/>
  <c r="X21" i="28"/>
  <c r="C71" i="28"/>
  <c r="F71" i="28" s="1"/>
  <c r="X70" i="28"/>
  <c r="D70" i="28"/>
  <c r="C44" i="36"/>
  <c r="G44" i="36" s="1"/>
  <c r="O43" i="36"/>
  <c r="X43" i="36"/>
  <c r="O84" i="36"/>
  <c r="X84" i="36"/>
  <c r="S81" i="36"/>
  <c r="R81" i="36"/>
  <c r="U81" i="36" s="1"/>
  <c r="V81" i="36" s="1"/>
  <c r="N82" i="36"/>
  <c r="R40" i="36"/>
  <c r="U40" i="36" s="1"/>
  <c r="V40" i="36" s="1"/>
  <c r="S40" i="36"/>
  <c r="P42" i="36"/>
  <c r="Q42" i="36" s="1"/>
  <c r="K42" i="36"/>
  <c r="M42" i="36"/>
  <c r="L42" i="36"/>
  <c r="K83" i="36"/>
  <c r="P83" i="36"/>
  <c r="Q83" i="36" s="1"/>
  <c r="M83" i="36"/>
  <c r="L83" i="36"/>
  <c r="N41" i="36"/>
  <c r="D84" i="36"/>
  <c r="E84" i="36" s="1"/>
  <c r="D43" i="36"/>
  <c r="E43" i="36" s="1"/>
  <c r="A42" i="36"/>
  <c r="T55" i="28"/>
  <c r="T46" i="28"/>
  <c r="S55" i="28"/>
  <c r="S46" i="28"/>
  <c r="U55" i="28"/>
  <c r="A83" i="36"/>
  <c r="C85" i="36"/>
  <c r="G85" i="36" s="1"/>
  <c r="H48" i="28"/>
  <c r="G48" i="28"/>
  <c r="I48" i="28"/>
  <c r="K48" i="28"/>
  <c r="N58" i="28"/>
  <c r="L58" i="28"/>
  <c r="M58" i="28"/>
  <c r="AB58" i="28"/>
  <c r="AA58" i="28"/>
  <c r="AC58" i="28"/>
  <c r="A58" i="28"/>
  <c r="J56" i="28"/>
  <c r="R56" i="28" s="1"/>
  <c r="J47" i="28"/>
  <c r="J19" i="28"/>
  <c r="R19" i="28" s="1"/>
  <c r="C22" i="28"/>
  <c r="AC21" i="28"/>
  <c r="M21" i="28"/>
  <c r="AB21" i="28"/>
  <c r="AA21" i="28"/>
  <c r="N21" i="28"/>
  <c r="L21" i="28"/>
  <c r="O56" i="28"/>
  <c r="P56" i="28"/>
  <c r="Q56" i="28"/>
  <c r="P47" i="28"/>
  <c r="Q47" i="28"/>
  <c r="O47" i="28"/>
  <c r="I20" i="28"/>
  <c r="K20" i="28"/>
  <c r="G20" i="28"/>
  <c r="H20" i="28"/>
  <c r="O19" i="28"/>
  <c r="P19" i="28"/>
  <c r="Q19" i="28"/>
  <c r="G57" i="28"/>
  <c r="K57" i="28"/>
  <c r="I57" i="28"/>
  <c r="H57" i="28"/>
  <c r="U18" i="28"/>
  <c r="R18" i="28"/>
  <c r="S18" i="28"/>
  <c r="T18" i="28"/>
  <c r="R46" i="28"/>
  <c r="U46" i="28"/>
  <c r="D37" i="73" l="1"/>
  <c r="AW37" i="73" s="1"/>
  <c r="F22" i="28"/>
  <c r="BQ24" i="73"/>
  <c r="AC24" i="73" s="1"/>
  <c r="P95" i="73"/>
  <c r="S95" i="73"/>
  <c r="V95" i="73" s="1"/>
  <c r="R95" i="73"/>
  <c r="Q95" i="73"/>
  <c r="AH80" i="73"/>
  <c r="AG80" i="73" s="1"/>
  <c r="R80" i="73"/>
  <c r="P80" i="73"/>
  <c r="S80" i="73"/>
  <c r="V80" i="73" s="1"/>
  <c r="Q80" i="73"/>
  <c r="AH95" i="73"/>
  <c r="C72" i="28"/>
  <c r="F72" i="28" s="1"/>
  <c r="X71" i="28"/>
  <c r="D71" i="28"/>
  <c r="D22" i="28"/>
  <c r="X22" i="28"/>
  <c r="C45" i="36"/>
  <c r="G45" i="36" s="1"/>
  <c r="O44" i="36"/>
  <c r="X44" i="36"/>
  <c r="O85" i="36"/>
  <c r="X85" i="36"/>
  <c r="P84" i="36"/>
  <c r="Q84" i="36" s="1"/>
  <c r="K84" i="36"/>
  <c r="L84" i="36"/>
  <c r="M84" i="36"/>
  <c r="N83" i="36"/>
  <c r="N42" i="36"/>
  <c r="M43" i="36"/>
  <c r="L43" i="36"/>
  <c r="P43" i="36"/>
  <c r="Q43" i="36" s="1"/>
  <c r="K43" i="36"/>
  <c r="R82" i="36"/>
  <c r="U82" i="36" s="1"/>
  <c r="V82" i="36" s="1"/>
  <c r="S82" i="36"/>
  <c r="S41" i="36"/>
  <c r="R41" i="36"/>
  <c r="U41" i="36" s="1"/>
  <c r="V41" i="36" s="1"/>
  <c r="T19" i="28"/>
  <c r="D85" i="36"/>
  <c r="E85" i="36" s="1"/>
  <c r="D44" i="36"/>
  <c r="E44" i="36" s="1"/>
  <c r="A43" i="36"/>
  <c r="S56" i="28"/>
  <c r="S19" i="28"/>
  <c r="J57" i="28"/>
  <c r="R57" i="28" s="1"/>
  <c r="U19" i="28"/>
  <c r="J48" i="28"/>
  <c r="R48" i="28" s="1"/>
  <c r="U56" i="28"/>
  <c r="T56" i="28"/>
  <c r="A84" i="36"/>
  <c r="C86" i="36"/>
  <c r="G86" i="36" s="1"/>
  <c r="P48" i="28"/>
  <c r="Q48" i="28"/>
  <c r="O48" i="28"/>
  <c r="J20" i="28"/>
  <c r="H21" i="28"/>
  <c r="G21" i="28"/>
  <c r="K21" i="28"/>
  <c r="I21" i="28"/>
  <c r="O20" i="28"/>
  <c r="P20" i="28"/>
  <c r="Q20" i="28"/>
  <c r="C23" i="28"/>
  <c r="F23" i="28" s="1"/>
  <c r="AA22" i="28"/>
  <c r="A22" i="28"/>
  <c r="N22" i="28"/>
  <c r="L22" i="28"/>
  <c r="AC22" i="28"/>
  <c r="M22" i="28"/>
  <c r="AB22" i="28"/>
  <c r="R47" i="28"/>
  <c r="U47" i="28"/>
  <c r="S47" i="28"/>
  <c r="T47" i="28"/>
  <c r="G58" i="28"/>
  <c r="K58" i="28"/>
  <c r="H58" i="28"/>
  <c r="I58" i="28"/>
  <c r="P57" i="28"/>
  <c r="O57" i="28"/>
  <c r="Q57" i="28"/>
  <c r="M59" i="28"/>
  <c r="N59" i="28"/>
  <c r="L59" i="28"/>
  <c r="A59" i="28"/>
  <c r="AA59" i="28"/>
  <c r="AB59" i="28"/>
  <c r="AC59" i="28"/>
  <c r="D64" i="73" l="1"/>
  <c r="AW64" i="73" s="1"/>
  <c r="D34" i="73"/>
  <c r="AW34" i="73" s="1"/>
  <c r="D33" i="73"/>
  <c r="AW33" i="73" s="1"/>
  <c r="AG95" i="73"/>
  <c r="D23" i="28"/>
  <c r="A23" i="28" s="1"/>
  <c r="X23" i="28"/>
  <c r="C73" i="28"/>
  <c r="F73" i="28" s="1"/>
  <c r="X72" i="28"/>
  <c r="D72" i="28"/>
  <c r="C46" i="36"/>
  <c r="G46" i="36" s="1"/>
  <c r="O86" i="36"/>
  <c r="X86" i="36"/>
  <c r="O45" i="36"/>
  <c r="X45" i="36"/>
  <c r="P85" i="36"/>
  <c r="Q85" i="36" s="1"/>
  <c r="K85" i="36"/>
  <c r="M85" i="36"/>
  <c r="L85" i="36"/>
  <c r="N43" i="36"/>
  <c r="L44" i="36"/>
  <c r="M44" i="36"/>
  <c r="P44" i="36"/>
  <c r="Q44" i="36" s="1"/>
  <c r="K44" i="36"/>
  <c r="R42" i="36"/>
  <c r="U42" i="36" s="1"/>
  <c r="V42" i="36" s="1"/>
  <c r="S42" i="36"/>
  <c r="N84" i="36"/>
  <c r="R83" i="36"/>
  <c r="U83" i="36" s="1"/>
  <c r="V83" i="36" s="1"/>
  <c r="S83" i="36"/>
  <c r="D45" i="36"/>
  <c r="E45" i="36" s="1"/>
  <c r="D86" i="36"/>
  <c r="E86" i="36" s="1"/>
  <c r="S57" i="28"/>
  <c r="U57" i="28"/>
  <c r="A44" i="36"/>
  <c r="T57" i="28"/>
  <c r="S48" i="28"/>
  <c r="T48" i="28"/>
  <c r="U48" i="28"/>
  <c r="J58" i="28"/>
  <c r="R58" i="28" s="1"/>
  <c r="A85" i="36"/>
  <c r="C87" i="36"/>
  <c r="G87" i="36" s="1"/>
  <c r="H59" i="28"/>
  <c r="G59" i="28"/>
  <c r="K59" i="28"/>
  <c r="I59" i="28"/>
  <c r="C24" i="28"/>
  <c r="M23" i="28"/>
  <c r="AC23" i="28"/>
  <c r="AA23" i="28"/>
  <c r="N23" i="28"/>
  <c r="AB23" i="28"/>
  <c r="L23" i="28"/>
  <c r="Q21" i="28"/>
  <c r="P21" i="28"/>
  <c r="O21" i="28"/>
  <c r="J21" i="28"/>
  <c r="L60" i="28"/>
  <c r="N60" i="28"/>
  <c r="M60" i="28"/>
  <c r="AA60" i="28"/>
  <c r="A60" i="28"/>
  <c r="AB60" i="28"/>
  <c r="AC60" i="28"/>
  <c r="O58" i="28"/>
  <c r="Q58" i="28"/>
  <c r="P58" i="28"/>
  <c r="I22" i="28"/>
  <c r="H22" i="28"/>
  <c r="K22" i="28"/>
  <c r="G22" i="28"/>
  <c r="T20" i="28"/>
  <c r="R20" i="28"/>
  <c r="U20" i="28"/>
  <c r="S20" i="28"/>
  <c r="D65" i="73" l="1"/>
  <c r="AW65" i="73" s="1"/>
  <c r="F24" i="28"/>
  <c r="C74" i="28"/>
  <c r="F74" i="28" s="1"/>
  <c r="X73" i="28"/>
  <c r="D73" i="28"/>
  <c r="D24" i="28"/>
  <c r="A24" i="28" s="1"/>
  <c r="X24" i="28"/>
  <c r="O87" i="36"/>
  <c r="X87" i="36"/>
  <c r="O46" i="36"/>
  <c r="X46" i="36"/>
  <c r="K45" i="36"/>
  <c r="M45" i="36"/>
  <c r="P45" i="36"/>
  <c r="Q45" i="36" s="1"/>
  <c r="L45" i="36"/>
  <c r="S84" i="36"/>
  <c r="R84" i="36"/>
  <c r="U84" i="36" s="1"/>
  <c r="V84" i="36" s="1"/>
  <c r="M86" i="36"/>
  <c r="P86" i="36"/>
  <c r="Q86" i="36" s="1"/>
  <c r="L86" i="36"/>
  <c r="K86" i="36"/>
  <c r="N44" i="36"/>
  <c r="R43" i="36"/>
  <c r="U43" i="36" s="1"/>
  <c r="V43" i="36" s="1"/>
  <c r="S43" i="36"/>
  <c r="N85" i="36"/>
  <c r="D46" i="36"/>
  <c r="E46" i="36" s="1"/>
  <c r="D87" i="36"/>
  <c r="E87" i="36" s="1"/>
  <c r="C47" i="36"/>
  <c r="G47" i="36" s="1"/>
  <c r="A45" i="36"/>
  <c r="S58" i="28"/>
  <c r="J59" i="28"/>
  <c r="T58" i="28"/>
  <c r="U58" i="28"/>
  <c r="A86" i="36"/>
  <c r="C88" i="36"/>
  <c r="G88" i="36" s="1"/>
  <c r="O22" i="28"/>
  <c r="Q22" i="28"/>
  <c r="P22" i="28"/>
  <c r="C25" i="28"/>
  <c r="F25" i="28" s="1"/>
  <c r="AC24" i="28"/>
  <c r="N24" i="28"/>
  <c r="M24" i="28"/>
  <c r="L24" i="28"/>
  <c r="AA24" i="28"/>
  <c r="AB24" i="28"/>
  <c r="O59" i="28"/>
  <c r="P59" i="28"/>
  <c r="Q59" i="28"/>
  <c r="M61" i="28"/>
  <c r="L61" i="28"/>
  <c r="N61" i="28"/>
  <c r="AC61" i="28"/>
  <c r="AB61" i="28"/>
  <c r="AA61" i="28"/>
  <c r="A61" i="28"/>
  <c r="H60" i="28"/>
  <c r="K60" i="28"/>
  <c r="G60" i="28"/>
  <c r="I60" i="28"/>
  <c r="T21" i="28"/>
  <c r="S21" i="28"/>
  <c r="U21" i="28"/>
  <c r="R21" i="28"/>
  <c r="J22" i="28"/>
  <c r="I23" i="28"/>
  <c r="K23" i="28"/>
  <c r="G23" i="28"/>
  <c r="H23" i="28"/>
  <c r="D116" i="73" l="1"/>
  <c r="D117" i="73"/>
  <c r="D25" i="28"/>
  <c r="A25" i="28" s="1"/>
  <c r="X25" i="28"/>
  <c r="C75" i="28"/>
  <c r="F75" i="28" s="1"/>
  <c r="X74" i="28"/>
  <c r="D74" i="28"/>
  <c r="O88" i="36"/>
  <c r="X88" i="36"/>
  <c r="O47" i="36"/>
  <c r="X47" i="36"/>
  <c r="R44" i="36"/>
  <c r="U44" i="36" s="1"/>
  <c r="V44" i="36" s="1"/>
  <c r="S44" i="36"/>
  <c r="P87" i="36"/>
  <c r="Q87" i="36" s="1"/>
  <c r="K87" i="36"/>
  <c r="L87" i="36"/>
  <c r="M87" i="36"/>
  <c r="S85" i="36"/>
  <c r="R85" i="36"/>
  <c r="U85" i="36" s="1"/>
  <c r="V85" i="36" s="1"/>
  <c r="N86" i="36"/>
  <c r="M46" i="36"/>
  <c r="L46" i="36"/>
  <c r="P46" i="36"/>
  <c r="Q46" i="36" s="1"/>
  <c r="K46" i="36"/>
  <c r="N45" i="36"/>
  <c r="D88" i="36"/>
  <c r="E88" i="36" s="1"/>
  <c r="D47" i="36"/>
  <c r="E47" i="36" s="1"/>
  <c r="A46" i="36"/>
  <c r="C48" i="36"/>
  <c r="G48" i="36" s="1"/>
  <c r="S59" i="28"/>
  <c r="U59" i="28"/>
  <c r="R59" i="28"/>
  <c r="T59" i="28"/>
  <c r="A87" i="36"/>
  <c r="C89" i="36"/>
  <c r="G89" i="36" s="1"/>
  <c r="R22" i="28"/>
  <c r="U22" i="28"/>
  <c r="S22" i="28"/>
  <c r="J23" i="28"/>
  <c r="J60" i="28"/>
  <c r="H61" i="28"/>
  <c r="G61" i="28"/>
  <c r="K61" i="28"/>
  <c r="I61" i="28"/>
  <c r="Q23" i="28"/>
  <c r="O23" i="28"/>
  <c r="P23" i="28"/>
  <c r="Q60" i="28"/>
  <c r="P60" i="28"/>
  <c r="O60" i="28"/>
  <c r="N62" i="28"/>
  <c r="L62" i="28"/>
  <c r="M62" i="28"/>
  <c r="AA62" i="28"/>
  <c r="AC62" i="28"/>
  <c r="A62" i="28"/>
  <c r="AB62" i="28"/>
  <c r="G24" i="28"/>
  <c r="I24" i="28"/>
  <c r="H24" i="28"/>
  <c r="K24" i="28"/>
  <c r="AA25" i="28"/>
  <c r="C26" i="28"/>
  <c r="F26" i="28" s="1"/>
  <c r="N25" i="28"/>
  <c r="AB25" i="28"/>
  <c r="AC25" i="28"/>
  <c r="M25" i="28"/>
  <c r="L25" i="28"/>
  <c r="T22" i="28"/>
  <c r="D18" i="73" l="1"/>
  <c r="BD117" i="73"/>
  <c r="AR117" i="73" s="1"/>
  <c r="AZ117" i="73"/>
  <c r="AN117" i="73" s="1"/>
  <c r="E117" i="73"/>
  <c r="AX117" i="73" s="1"/>
  <c r="BE117" i="73"/>
  <c r="AS117" i="73" s="1"/>
  <c r="F117" i="73"/>
  <c r="G117" i="73"/>
  <c r="AW117" i="73"/>
  <c r="BC117" i="73"/>
  <c r="G116" i="73"/>
  <c r="BC116" i="73"/>
  <c r="AW116" i="73"/>
  <c r="BE116" i="73"/>
  <c r="AS116" i="73" s="1"/>
  <c r="BD116" i="73"/>
  <c r="AR116" i="73" s="1"/>
  <c r="AZ116" i="73"/>
  <c r="AN116" i="73" s="1"/>
  <c r="F116" i="73"/>
  <c r="E116" i="73"/>
  <c r="AX116" i="73" s="1"/>
  <c r="AW66" i="73"/>
  <c r="D111" i="73"/>
  <c r="D110" i="73"/>
  <c r="D112" i="73"/>
  <c r="D26" i="28"/>
  <c r="A26" i="28" s="1"/>
  <c r="X26" i="28"/>
  <c r="C81" i="28"/>
  <c r="F81" i="28" s="1"/>
  <c r="X75" i="28"/>
  <c r="D75" i="28"/>
  <c r="O89" i="36"/>
  <c r="X89" i="36"/>
  <c r="O48" i="36"/>
  <c r="X48" i="36"/>
  <c r="M88" i="36"/>
  <c r="L88" i="36"/>
  <c r="K88" i="36"/>
  <c r="P88" i="36"/>
  <c r="Q88" i="36" s="1"/>
  <c r="R86" i="36"/>
  <c r="U86" i="36" s="1"/>
  <c r="V86" i="36" s="1"/>
  <c r="S86" i="36"/>
  <c r="P47" i="36"/>
  <c r="Q47" i="36" s="1"/>
  <c r="K47" i="36"/>
  <c r="M47" i="36"/>
  <c r="L47" i="36"/>
  <c r="R45" i="36"/>
  <c r="U45" i="36" s="1"/>
  <c r="V45" i="36" s="1"/>
  <c r="S45" i="36"/>
  <c r="N46" i="36"/>
  <c r="N87" i="36"/>
  <c r="C90" i="36"/>
  <c r="G90" i="36" s="1"/>
  <c r="D89" i="36"/>
  <c r="E89" i="36" s="1"/>
  <c r="D48" i="36"/>
  <c r="E48" i="36" s="1"/>
  <c r="A47" i="36"/>
  <c r="C49" i="36"/>
  <c r="G49" i="36" s="1"/>
  <c r="J24" i="28"/>
  <c r="R24" i="28" s="1"/>
  <c r="U60" i="28"/>
  <c r="J61" i="28"/>
  <c r="R61" i="28" s="1"/>
  <c r="A88" i="36"/>
  <c r="H25" i="28"/>
  <c r="I25" i="28"/>
  <c r="G25" i="28"/>
  <c r="K25" i="28"/>
  <c r="C27" i="28"/>
  <c r="F27" i="28" s="1"/>
  <c r="AA26" i="28"/>
  <c r="N26" i="28"/>
  <c r="L26" i="28"/>
  <c r="M26" i="28"/>
  <c r="AC26" i="28"/>
  <c r="AB26" i="28"/>
  <c r="Q24" i="28"/>
  <c r="O24" i="28"/>
  <c r="P24" i="28"/>
  <c r="M63" i="28"/>
  <c r="N63" i="28"/>
  <c r="L63" i="28"/>
  <c r="AC63" i="28"/>
  <c r="A63" i="28"/>
  <c r="AB63" i="28"/>
  <c r="AA63" i="28"/>
  <c r="R60" i="28"/>
  <c r="T60" i="28"/>
  <c r="K62" i="28"/>
  <c r="I62" i="28"/>
  <c r="H62" i="28"/>
  <c r="G62" i="28"/>
  <c r="S60" i="28"/>
  <c r="O61" i="28"/>
  <c r="Q61" i="28"/>
  <c r="P61" i="28"/>
  <c r="R23" i="28"/>
  <c r="U23" i="28"/>
  <c r="T23" i="28"/>
  <c r="S23" i="28"/>
  <c r="D21" i="73" l="1"/>
  <c r="AW21" i="73" s="1"/>
  <c r="D20" i="73"/>
  <c r="AW20" i="73" s="1"/>
  <c r="D19" i="73"/>
  <c r="AW19" i="73" s="1"/>
  <c r="AY116" i="73"/>
  <c r="BB116" i="73" s="1"/>
  <c r="X116" i="73" s="1"/>
  <c r="AL116" i="73"/>
  <c r="BD110" i="73"/>
  <c r="AR110" i="73" s="1"/>
  <c r="AZ110" i="73"/>
  <c r="AN110" i="73" s="1"/>
  <c r="E110" i="73"/>
  <c r="AX110" i="73" s="1"/>
  <c r="AW110" i="73"/>
  <c r="BC110" i="73"/>
  <c r="G110" i="73"/>
  <c r="BE110" i="73"/>
  <c r="AS110" i="73" s="1"/>
  <c r="F110" i="73"/>
  <c r="G111" i="73"/>
  <c r="BE111" i="73"/>
  <c r="AS111" i="73" s="1"/>
  <c r="AZ111" i="73"/>
  <c r="AN111" i="73" s="1"/>
  <c r="E111" i="73"/>
  <c r="AX111" i="73" s="1"/>
  <c r="BD111" i="73"/>
  <c r="AR111" i="73" s="1"/>
  <c r="AW111" i="73"/>
  <c r="BC111" i="73"/>
  <c r="F111" i="73"/>
  <c r="BF116" i="73"/>
  <c r="Y116" i="73" s="1"/>
  <c r="AQ116" i="73"/>
  <c r="AT116" i="73" s="1"/>
  <c r="AY117" i="73"/>
  <c r="BB117" i="73" s="1"/>
  <c r="X117" i="73" s="1"/>
  <c r="AL117" i="73"/>
  <c r="AW18" i="73"/>
  <c r="AW26" i="73"/>
  <c r="BD112" i="73"/>
  <c r="AR112" i="73" s="1"/>
  <c r="AZ112" i="73"/>
  <c r="E112" i="73"/>
  <c r="AX112" i="73" s="1"/>
  <c r="AW112" i="73"/>
  <c r="BE112" i="73"/>
  <c r="AS112" i="73" s="1"/>
  <c r="BC112" i="73"/>
  <c r="G112" i="73"/>
  <c r="F112" i="73"/>
  <c r="AW29" i="73"/>
  <c r="AW27" i="73"/>
  <c r="BF117" i="73"/>
  <c r="Y117" i="73" s="1"/>
  <c r="AQ117" i="73"/>
  <c r="AT117" i="73" s="1"/>
  <c r="C82" i="28"/>
  <c r="F82" i="28" s="1"/>
  <c r="X81" i="28"/>
  <c r="D81" i="28"/>
  <c r="D27" i="28"/>
  <c r="A27" i="28" s="1"/>
  <c r="X27" i="28"/>
  <c r="X90" i="36"/>
  <c r="O49" i="36"/>
  <c r="X49" i="36"/>
  <c r="N88" i="36"/>
  <c r="R88" i="36" s="1"/>
  <c r="U88" i="36" s="1"/>
  <c r="V88" i="36" s="1"/>
  <c r="D90" i="36"/>
  <c r="E90" i="36" s="1"/>
  <c r="O90" i="36"/>
  <c r="R87" i="36"/>
  <c r="U87" i="36" s="1"/>
  <c r="V87" i="36" s="1"/>
  <c r="S87" i="36"/>
  <c r="L89" i="36"/>
  <c r="M89" i="36"/>
  <c r="P89" i="36"/>
  <c r="Q89" i="36" s="1"/>
  <c r="K89" i="36"/>
  <c r="S46" i="36"/>
  <c r="R46" i="36"/>
  <c r="U46" i="36" s="1"/>
  <c r="V46" i="36" s="1"/>
  <c r="M48" i="36"/>
  <c r="L48" i="36"/>
  <c r="P48" i="36"/>
  <c r="Q48" i="36" s="1"/>
  <c r="K48" i="36"/>
  <c r="N47" i="36"/>
  <c r="D49" i="36"/>
  <c r="E49" i="36" s="1"/>
  <c r="S24" i="28"/>
  <c r="U24" i="28"/>
  <c r="A48" i="36"/>
  <c r="C50" i="36"/>
  <c r="G50" i="36" s="1"/>
  <c r="T24" i="28"/>
  <c r="J25" i="28"/>
  <c r="R25" i="28" s="1"/>
  <c r="U61" i="28"/>
  <c r="S61" i="28"/>
  <c r="T61" i="28"/>
  <c r="A89" i="36"/>
  <c r="C91" i="36"/>
  <c r="G91" i="36" s="1"/>
  <c r="O25" i="28"/>
  <c r="P25" i="28"/>
  <c r="Q25" i="28"/>
  <c r="G63" i="28"/>
  <c r="I63" i="28"/>
  <c r="K63" i="28"/>
  <c r="H63" i="28"/>
  <c r="C28" i="28"/>
  <c r="L27" i="28"/>
  <c r="AC27" i="28"/>
  <c r="M27" i="28"/>
  <c r="AB27" i="28"/>
  <c r="AA27" i="28"/>
  <c r="N27" i="28"/>
  <c r="O62" i="28"/>
  <c r="P62" i="28"/>
  <c r="Q62" i="28"/>
  <c r="L64" i="28"/>
  <c r="N64" i="28"/>
  <c r="M64" i="28"/>
  <c r="AC64" i="28"/>
  <c r="AB64" i="28"/>
  <c r="AA64" i="28"/>
  <c r="A64" i="28"/>
  <c r="J62" i="28"/>
  <c r="K26" i="28"/>
  <c r="G26" i="28"/>
  <c r="H26" i="28"/>
  <c r="I26" i="28"/>
  <c r="D17" i="73" l="1"/>
  <c r="AW17" i="73" s="1"/>
  <c r="F28" i="28"/>
  <c r="AM117" i="73"/>
  <c r="T117" i="73"/>
  <c r="AM116" i="73"/>
  <c r="T116" i="73"/>
  <c r="AL111" i="73"/>
  <c r="AY111" i="73"/>
  <c r="BB111" i="73" s="1"/>
  <c r="X111" i="73" s="1"/>
  <c r="AL112" i="73"/>
  <c r="AY112" i="73"/>
  <c r="BB112" i="73" s="1"/>
  <c r="X112" i="73" s="1"/>
  <c r="BF111" i="73"/>
  <c r="Y111" i="73" s="1"/>
  <c r="AQ111" i="73"/>
  <c r="AT111" i="73" s="1"/>
  <c r="BF112" i="73"/>
  <c r="Y112" i="73" s="1"/>
  <c r="AQ112" i="73"/>
  <c r="AT112" i="73" s="1"/>
  <c r="AW30" i="73"/>
  <c r="BG117" i="73"/>
  <c r="Z117" i="73" s="1"/>
  <c r="AE117" i="73" s="1"/>
  <c r="AD117" i="73" s="1"/>
  <c r="AL110" i="73"/>
  <c r="AY110" i="73"/>
  <c r="BB110" i="73" s="1"/>
  <c r="X110" i="73" s="1"/>
  <c r="BF110" i="73"/>
  <c r="Y110" i="73" s="1"/>
  <c r="AQ110" i="73"/>
  <c r="AT110" i="73" s="1"/>
  <c r="D113" i="73"/>
  <c r="BG116" i="73"/>
  <c r="Z116" i="73" s="1"/>
  <c r="AE116" i="73" s="1"/>
  <c r="AD116" i="73" s="1"/>
  <c r="D28" i="28"/>
  <c r="A28" i="28" s="1"/>
  <c r="X28" i="28"/>
  <c r="C83" i="28"/>
  <c r="F83" i="28" s="1"/>
  <c r="X82" i="28"/>
  <c r="D82" i="28"/>
  <c r="O91" i="36"/>
  <c r="X91" i="36"/>
  <c r="O50" i="36"/>
  <c r="X50" i="36"/>
  <c r="S88" i="36"/>
  <c r="M49" i="36"/>
  <c r="L49" i="36"/>
  <c r="K49" i="36"/>
  <c r="P49" i="36"/>
  <c r="Q49" i="36" s="1"/>
  <c r="K90" i="36"/>
  <c r="P90" i="36"/>
  <c r="Q90" i="36" s="1"/>
  <c r="L90" i="36"/>
  <c r="M90" i="36"/>
  <c r="N89" i="36"/>
  <c r="R47" i="36"/>
  <c r="U47" i="36" s="1"/>
  <c r="V47" i="36" s="1"/>
  <c r="S47" i="36"/>
  <c r="N48" i="36"/>
  <c r="D50" i="36"/>
  <c r="E50" i="36" s="1"/>
  <c r="D91" i="36"/>
  <c r="E91" i="36" s="1"/>
  <c r="T25" i="28"/>
  <c r="A49" i="36"/>
  <c r="C51" i="36"/>
  <c r="U25" i="28"/>
  <c r="S25" i="28"/>
  <c r="A90" i="36"/>
  <c r="C92" i="36"/>
  <c r="G92" i="36" s="1"/>
  <c r="M65" i="28"/>
  <c r="L65" i="28"/>
  <c r="N65" i="28"/>
  <c r="AB65" i="28"/>
  <c r="A65" i="28"/>
  <c r="AC65" i="28"/>
  <c r="AA65" i="28"/>
  <c r="G27" i="28"/>
  <c r="I27" i="28"/>
  <c r="K27" i="28"/>
  <c r="H27" i="28"/>
  <c r="J26" i="28"/>
  <c r="U62" i="28"/>
  <c r="S62" i="28"/>
  <c r="T62" i="28"/>
  <c r="R62" i="28"/>
  <c r="O63" i="28"/>
  <c r="P63" i="28"/>
  <c r="Q63" i="28"/>
  <c r="C29" i="28"/>
  <c r="AC28" i="28"/>
  <c r="M28" i="28"/>
  <c r="AB28" i="28"/>
  <c r="N28" i="28"/>
  <c r="AA28" i="28"/>
  <c r="L28" i="28"/>
  <c r="P26" i="28"/>
  <c r="O26" i="28"/>
  <c r="Q26" i="28"/>
  <c r="H64" i="28"/>
  <c r="K64" i="28"/>
  <c r="G64" i="28"/>
  <c r="I64" i="28"/>
  <c r="J63" i="28"/>
  <c r="F29" i="28" l="1"/>
  <c r="AP116" i="73"/>
  <c r="AU116" i="73" s="1"/>
  <c r="U116" i="73"/>
  <c r="AM111" i="73"/>
  <c r="T111" i="73"/>
  <c r="AM110" i="73"/>
  <c r="U110" i="73" s="1"/>
  <c r="T110" i="73"/>
  <c r="AM112" i="73"/>
  <c r="U112" i="73" s="1"/>
  <c r="T112" i="73"/>
  <c r="AP117" i="73"/>
  <c r="AU117" i="73" s="1"/>
  <c r="U117" i="73"/>
  <c r="G113" i="73"/>
  <c r="BE113" i="73"/>
  <c r="AS113" i="73" s="1"/>
  <c r="AZ113" i="73"/>
  <c r="E113" i="73"/>
  <c r="AX113" i="73" s="1"/>
  <c r="BC113" i="73"/>
  <c r="F113" i="73"/>
  <c r="AW113" i="73"/>
  <c r="BD113" i="73"/>
  <c r="AR113" i="73" s="1"/>
  <c r="BG110" i="73"/>
  <c r="Z110" i="73" s="1"/>
  <c r="BG111" i="73"/>
  <c r="Z111" i="73" s="1"/>
  <c r="AE111" i="73" s="1"/>
  <c r="AD111" i="73" s="1"/>
  <c r="BG112" i="73"/>
  <c r="Z112" i="73" s="1"/>
  <c r="G51" i="36"/>
  <c r="D29" i="28"/>
  <c r="A29" i="28" s="1"/>
  <c r="X29" i="28"/>
  <c r="C84" i="28"/>
  <c r="F84" i="28" s="1"/>
  <c r="X83" i="28"/>
  <c r="D83" i="28"/>
  <c r="O51" i="36"/>
  <c r="X51" i="36"/>
  <c r="O92" i="36"/>
  <c r="X92" i="36"/>
  <c r="N49" i="36"/>
  <c r="S49" i="36" s="1"/>
  <c r="M91" i="36"/>
  <c r="L91" i="36"/>
  <c r="K91" i="36"/>
  <c r="P91" i="36"/>
  <c r="Q91" i="36" s="1"/>
  <c r="S48" i="36"/>
  <c r="R48" i="36"/>
  <c r="U48" i="36" s="1"/>
  <c r="V48" i="36" s="1"/>
  <c r="S89" i="36"/>
  <c r="R89" i="36"/>
  <c r="U89" i="36" s="1"/>
  <c r="V89" i="36" s="1"/>
  <c r="N90" i="36"/>
  <c r="P50" i="36"/>
  <c r="Q50" i="36" s="1"/>
  <c r="K50" i="36"/>
  <c r="M50" i="36"/>
  <c r="L50" i="36"/>
  <c r="D51" i="36"/>
  <c r="E51" i="36" s="1"/>
  <c r="D92" i="36"/>
  <c r="E92" i="36" s="1"/>
  <c r="A50" i="36"/>
  <c r="C52" i="36"/>
  <c r="G52" i="36" s="1"/>
  <c r="J27" i="28"/>
  <c r="R27" i="28" s="1"/>
  <c r="A91" i="36"/>
  <c r="C93" i="36"/>
  <c r="G93" i="36" s="1"/>
  <c r="Q64" i="28"/>
  <c r="P64" i="28"/>
  <c r="O64" i="28"/>
  <c r="I65" i="28"/>
  <c r="H65" i="28"/>
  <c r="G65" i="28"/>
  <c r="K65" i="28"/>
  <c r="K28" i="28"/>
  <c r="G28" i="28"/>
  <c r="H28" i="28"/>
  <c r="I28" i="28"/>
  <c r="C30" i="28"/>
  <c r="L29" i="28"/>
  <c r="AA29" i="28"/>
  <c r="M29" i="28"/>
  <c r="AC29" i="28"/>
  <c r="AB29" i="28"/>
  <c r="N29" i="28"/>
  <c r="N66" i="28"/>
  <c r="L66" i="28"/>
  <c r="M66" i="28"/>
  <c r="AC66" i="28"/>
  <c r="A66" i="28"/>
  <c r="AB66" i="28"/>
  <c r="AA66" i="28"/>
  <c r="R26" i="28"/>
  <c r="U26" i="28"/>
  <c r="T26" i="28"/>
  <c r="T63" i="28"/>
  <c r="R63" i="28"/>
  <c r="S63" i="28"/>
  <c r="U63" i="28"/>
  <c r="J64" i="28"/>
  <c r="R64" i="28" s="1"/>
  <c r="S26" i="28"/>
  <c r="Q27" i="28"/>
  <c r="O27" i="28"/>
  <c r="P27" i="28"/>
  <c r="D36" i="73" l="1"/>
  <c r="AW36" i="73" s="1"/>
  <c r="D35" i="73"/>
  <c r="AW35" i="73" s="1"/>
  <c r="F30" i="28"/>
  <c r="AP111" i="73"/>
  <c r="AU111" i="73" s="1"/>
  <c r="U111" i="73"/>
  <c r="AH117" i="73"/>
  <c r="AG117" i="73" s="1"/>
  <c r="S117" i="73"/>
  <c r="V117" i="73" s="1"/>
  <c r="P117" i="73"/>
  <c r="Q117" i="73"/>
  <c r="R117" i="73"/>
  <c r="AH116" i="73"/>
  <c r="AG116" i="73" s="1"/>
  <c r="Q116" i="73"/>
  <c r="P116" i="73"/>
  <c r="R116" i="73"/>
  <c r="S116" i="73"/>
  <c r="V116" i="73" s="1"/>
  <c r="AY113" i="73"/>
  <c r="BB113" i="73" s="1"/>
  <c r="X113" i="73" s="1"/>
  <c r="AL113" i="73"/>
  <c r="D78" i="73"/>
  <c r="D79" i="73"/>
  <c r="BF113" i="73"/>
  <c r="Y113" i="73" s="1"/>
  <c r="AQ113" i="73"/>
  <c r="AT113" i="73" s="1"/>
  <c r="C85" i="28"/>
  <c r="F85" i="28" s="1"/>
  <c r="X84" i="28"/>
  <c r="D84" i="28"/>
  <c r="D30" i="28"/>
  <c r="A30" i="28" s="1"/>
  <c r="X30" i="28"/>
  <c r="O93" i="36"/>
  <c r="X93" i="36"/>
  <c r="O52" i="36"/>
  <c r="X52" i="36"/>
  <c r="R49" i="36"/>
  <c r="U49" i="36" s="1"/>
  <c r="V49" i="36" s="1"/>
  <c r="S90" i="36"/>
  <c r="R90" i="36"/>
  <c r="U90" i="36" s="1"/>
  <c r="V90" i="36" s="1"/>
  <c r="N50" i="36"/>
  <c r="P92" i="36"/>
  <c r="Q92" i="36" s="1"/>
  <c r="K92" i="36"/>
  <c r="L92" i="36"/>
  <c r="M92" i="36"/>
  <c r="N91" i="36"/>
  <c r="D52" i="36"/>
  <c r="E52" i="36" s="1"/>
  <c r="D93" i="36"/>
  <c r="E93" i="36" s="1"/>
  <c r="T27" i="28"/>
  <c r="S27" i="28"/>
  <c r="C53" i="36"/>
  <c r="G53" i="36" s="1"/>
  <c r="U27" i="28"/>
  <c r="A92" i="36"/>
  <c r="C94" i="36"/>
  <c r="G94" i="36" s="1"/>
  <c r="P65" i="28"/>
  <c r="Q65" i="28"/>
  <c r="O65" i="28"/>
  <c r="I66" i="28"/>
  <c r="H66" i="28"/>
  <c r="G66" i="28"/>
  <c r="K66" i="28"/>
  <c r="K29" i="28"/>
  <c r="G29" i="28"/>
  <c r="I29" i="28"/>
  <c r="H29" i="28"/>
  <c r="J65" i="28"/>
  <c r="S64" i="28"/>
  <c r="M67" i="28"/>
  <c r="N67" i="28"/>
  <c r="L67" i="28"/>
  <c r="AB67" i="28"/>
  <c r="AC67" i="28"/>
  <c r="A67" i="28"/>
  <c r="AA67" i="28"/>
  <c r="J28" i="28"/>
  <c r="T64" i="28"/>
  <c r="AA30" i="28"/>
  <c r="C31" i="28"/>
  <c r="F31" i="28" s="1"/>
  <c r="AC30" i="28"/>
  <c r="L30" i="28"/>
  <c r="M30" i="28"/>
  <c r="N30" i="28"/>
  <c r="AB30" i="28"/>
  <c r="O28" i="28"/>
  <c r="P28" i="28"/>
  <c r="Q28" i="28"/>
  <c r="U64" i="28"/>
  <c r="AM113" i="73" l="1"/>
  <c r="U113" i="73" s="1"/>
  <c r="T113" i="73"/>
  <c r="AH111" i="73"/>
  <c r="AG111" i="73" s="1"/>
  <c r="P111" i="73"/>
  <c r="S111" i="73"/>
  <c r="V111" i="73" s="1"/>
  <c r="R111" i="73"/>
  <c r="Q111" i="73"/>
  <c r="BE79" i="73"/>
  <c r="AS79" i="73" s="1"/>
  <c r="AW79" i="73"/>
  <c r="G79" i="73"/>
  <c r="E79" i="73"/>
  <c r="AX79" i="73" s="1"/>
  <c r="BC79" i="73"/>
  <c r="F79" i="73"/>
  <c r="AZ79" i="73"/>
  <c r="AN79" i="73" s="1"/>
  <c r="BD79" i="73"/>
  <c r="AR79" i="73" s="1"/>
  <c r="D114" i="73"/>
  <c r="BD78" i="73"/>
  <c r="AR78" i="73" s="1"/>
  <c r="AZ78" i="73"/>
  <c r="AN78" i="73" s="1"/>
  <c r="F78" i="73"/>
  <c r="AW78" i="73"/>
  <c r="BE78" i="73"/>
  <c r="AS78" i="73" s="1"/>
  <c r="BC78" i="73"/>
  <c r="G78" i="73"/>
  <c r="E78" i="73"/>
  <c r="AX78" i="73" s="1"/>
  <c r="BG113" i="73"/>
  <c r="Z113" i="73" s="1"/>
  <c r="D31" i="28"/>
  <c r="A31" i="28" s="1"/>
  <c r="X31" i="28"/>
  <c r="C86" i="28"/>
  <c r="F86" i="28" s="1"/>
  <c r="X85" i="28"/>
  <c r="D85" i="28"/>
  <c r="O94" i="36"/>
  <c r="X94" i="36"/>
  <c r="O53" i="36"/>
  <c r="X53" i="36"/>
  <c r="P93" i="36"/>
  <c r="Q93" i="36" s="1"/>
  <c r="K93" i="36"/>
  <c r="L93" i="36"/>
  <c r="M93" i="36"/>
  <c r="N92" i="36"/>
  <c r="R91" i="36"/>
  <c r="U91" i="36" s="1"/>
  <c r="V91" i="36" s="1"/>
  <c r="S91" i="36"/>
  <c r="S50" i="36"/>
  <c r="R50" i="36"/>
  <c r="U50" i="36" s="1"/>
  <c r="V50" i="36" s="1"/>
  <c r="D53" i="36"/>
  <c r="E53" i="36" s="1"/>
  <c r="D94" i="36"/>
  <c r="E94" i="36" s="1"/>
  <c r="C54" i="36"/>
  <c r="J66" i="28"/>
  <c r="R66" i="28" s="1"/>
  <c r="A93" i="36"/>
  <c r="C95" i="36"/>
  <c r="G95" i="36" s="1"/>
  <c r="C32" i="28"/>
  <c r="AC31" i="28"/>
  <c r="AA31" i="28"/>
  <c r="N31" i="28"/>
  <c r="M31" i="28"/>
  <c r="AB31" i="28"/>
  <c r="L31" i="28"/>
  <c r="J29" i="28"/>
  <c r="U65" i="28"/>
  <c r="T28" i="28"/>
  <c r="R28" i="28"/>
  <c r="U28" i="28"/>
  <c r="S28" i="28"/>
  <c r="L68" i="28"/>
  <c r="N68" i="28"/>
  <c r="M68" i="28"/>
  <c r="AA68" i="28"/>
  <c r="A68" i="28"/>
  <c r="AC68" i="28"/>
  <c r="AB68" i="28"/>
  <c r="S65" i="28"/>
  <c r="R65" i="28"/>
  <c r="T65" i="28"/>
  <c r="O29" i="28"/>
  <c r="P29" i="28"/>
  <c r="Q29" i="28"/>
  <c r="I30" i="28"/>
  <c r="H30" i="28"/>
  <c r="G30" i="28"/>
  <c r="K30" i="28"/>
  <c r="G67" i="28"/>
  <c r="K67" i="28"/>
  <c r="I67" i="28"/>
  <c r="H67" i="28"/>
  <c r="Q66" i="28"/>
  <c r="O66" i="28"/>
  <c r="P66" i="28"/>
  <c r="B36" i="28" l="1"/>
  <c r="B79" i="28" s="1"/>
  <c r="F32" i="28"/>
  <c r="BD114" i="73"/>
  <c r="AR114" i="73" s="1"/>
  <c r="AZ114" i="73"/>
  <c r="E114" i="73"/>
  <c r="AX114" i="73" s="1"/>
  <c r="AW114" i="73"/>
  <c r="F114" i="73"/>
  <c r="BE114" i="73"/>
  <c r="AS114" i="73" s="1"/>
  <c r="G114" i="73"/>
  <c r="BC114" i="73"/>
  <c r="AQ79" i="73"/>
  <c r="AT79" i="73" s="1"/>
  <c r="BF79" i="73"/>
  <c r="Y79" i="73" s="1"/>
  <c r="AY78" i="73"/>
  <c r="BB78" i="73" s="1"/>
  <c r="X78" i="73" s="1"/>
  <c r="AL78" i="73"/>
  <c r="AL79" i="73"/>
  <c r="AY79" i="73"/>
  <c r="BB79" i="73" s="1"/>
  <c r="X79" i="73" s="1"/>
  <c r="AQ78" i="73"/>
  <c r="AT78" i="73" s="1"/>
  <c r="BF78" i="73"/>
  <c r="Y78" i="73" s="1"/>
  <c r="G54" i="36"/>
  <c r="D32" i="28"/>
  <c r="A32" i="28" s="1"/>
  <c r="X32" i="28"/>
  <c r="C87" i="28"/>
  <c r="F87" i="28" s="1"/>
  <c r="X86" i="28"/>
  <c r="D86" i="28"/>
  <c r="O54" i="36"/>
  <c r="X54" i="36"/>
  <c r="O95" i="36"/>
  <c r="X95" i="36"/>
  <c r="M94" i="36"/>
  <c r="L94" i="36"/>
  <c r="K94" i="36"/>
  <c r="P94" i="36"/>
  <c r="Q94" i="36" s="1"/>
  <c r="N93" i="36"/>
  <c r="R92" i="36"/>
  <c r="U92" i="36" s="1"/>
  <c r="V92" i="36" s="1"/>
  <c r="S92" i="36"/>
  <c r="D54" i="36"/>
  <c r="E54" i="36" s="1"/>
  <c r="D95" i="36"/>
  <c r="E95" i="36" s="1"/>
  <c r="T66" i="28"/>
  <c r="C55" i="36"/>
  <c r="U66" i="28"/>
  <c r="S66" i="28"/>
  <c r="A94" i="36"/>
  <c r="C96" i="36"/>
  <c r="G96" i="36" s="1"/>
  <c r="I68" i="28"/>
  <c r="H68" i="28"/>
  <c r="G68" i="28"/>
  <c r="K68" i="28"/>
  <c r="P30" i="28"/>
  <c r="Q30" i="28"/>
  <c r="O30" i="28"/>
  <c r="T29" i="28"/>
  <c r="R29" i="28"/>
  <c r="S29" i="28"/>
  <c r="U29" i="28"/>
  <c r="O67" i="28"/>
  <c r="P67" i="28"/>
  <c r="Q67" i="28"/>
  <c r="J30" i="28"/>
  <c r="M69" i="28"/>
  <c r="L69" i="28"/>
  <c r="N69" i="28"/>
  <c r="AB69" i="28"/>
  <c r="AC69" i="28"/>
  <c r="AA69" i="28"/>
  <c r="A69" i="28"/>
  <c r="J67" i="28"/>
  <c r="H31" i="28"/>
  <c r="K31" i="28"/>
  <c r="I31" i="28"/>
  <c r="G31" i="28"/>
  <c r="N32" i="28"/>
  <c r="AC32" i="28"/>
  <c r="AA32" i="28"/>
  <c r="M32" i="28"/>
  <c r="L32" i="28"/>
  <c r="AB32" i="28"/>
  <c r="AM78" i="73" l="1"/>
  <c r="T78" i="73"/>
  <c r="AM79" i="73"/>
  <c r="T79" i="73"/>
  <c r="G27" i="73"/>
  <c r="BD18" i="73"/>
  <c r="AR18" i="73" s="1"/>
  <c r="G18" i="73"/>
  <c r="F18" i="73"/>
  <c r="E26" i="73"/>
  <c r="AX26" i="73" s="1"/>
  <c r="AY26" i="73" s="1"/>
  <c r="BE18" i="73"/>
  <c r="AS18" i="73" s="1"/>
  <c r="E27" i="73"/>
  <c r="AX27" i="73" s="1"/>
  <c r="AL27" i="73" s="1"/>
  <c r="F30" i="73"/>
  <c r="BE27" i="73"/>
  <c r="AS27" i="73" s="1"/>
  <c r="BC26" i="73"/>
  <c r="AQ26" i="73" s="1"/>
  <c r="F27" i="73"/>
  <c r="G26" i="73"/>
  <c r="BE30" i="73"/>
  <c r="AS30" i="73" s="1"/>
  <c r="F26" i="73"/>
  <c r="AZ27" i="73"/>
  <c r="E29" i="73"/>
  <c r="AX29" i="73" s="1"/>
  <c r="AY29" i="73" s="1"/>
  <c r="F29" i="73"/>
  <c r="BE29" i="73"/>
  <c r="AS29" i="73" s="1"/>
  <c r="E30" i="73"/>
  <c r="AX30" i="73" s="1"/>
  <c r="AY30" i="73" s="1"/>
  <c r="BD29" i="73"/>
  <c r="AR29" i="73" s="1"/>
  <c r="BE26" i="73"/>
  <c r="AS26" i="73" s="1"/>
  <c r="AY114" i="73"/>
  <c r="BB114" i="73" s="1"/>
  <c r="X114" i="73" s="1"/>
  <c r="AL114" i="73"/>
  <c r="BG78" i="73"/>
  <c r="Z78" i="73" s="1"/>
  <c r="AE78" i="73" s="1"/>
  <c r="AD78" i="73" s="1"/>
  <c r="BG79" i="73"/>
  <c r="Z79" i="73" s="1"/>
  <c r="AE79" i="73" s="1"/>
  <c r="AD79" i="73" s="1"/>
  <c r="G30" i="73"/>
  <c r="AZ17" i="73"/>
  <c r="AN17" i="73" s="1"/>
  <c r="BF114" i="73"/>
  <c r="Y114" i="73" s="1"/>
  <c r="BC30" i="73"/>
  <c r="BD30" i="73"/>
  <c r="AR30" i="73" s="1"/>
  <c r="G17" i="73"/>
  <c r="BC27" i="73"/>
  <c r="BD26" i="73"/>
  <c r="G29" i="73"/>
  <c r="E17" i="73"/>
  <c r="AX17" i="73" s="1"/>
  <c r="BC18" i="73"/>
  <c r="BC29" i="73"/>
  <c r="G55" i="36"/>
  <c r="C88" i="28"/>
  <c r="F88" i="28" s="1"/>
  <c r="X87" i="28"/>
  <c r="D87" i="28"/>
  <c r="O96" i="36"/>
  <c r="X96" i="36"/>
  <c r="O55" i="36"/>
  <c r="X55" i="36"/>
  <c r="N94" i="36"/>
  <c r="S94" i="36" s="1"/>
  <c r="P95" i="36"/>
  <c r="Q95" i="36" s="1"/>
  <c r="K95" i="36"/>
  <c r="L95" i="36"/>
  <c r="M95" i="36"/>
  <c r="R93" i="36"/>
  <c r="U93" i="36" s="1"/>
  <c r="V93" i="36" s="1"/>
  <c r="S93" i="36"/>
  <c r="D55" i="36"/>
  <c r="E55" i="36" s="1"/>
  <c r="D96" i="36"/>
  <c r="E96" i="36" s="1"/>
  <c r="C56" i="36"/>
  <c r="G56" i="36" s="1"/>
  <c r="A95" i="36"/>
  <c r="C97" i="36"/>
  <c r="G97" i="36" s="1"/>
  <c r="Q31" i="28"/>
  <c r="P31" i="28"/>
  <c r="O31" i="28"/>
  <c r="U67" i="28"/>
  <c r="T67" i="28"/>
  <c r="R67" i="28"/>
  <c r="S67" i="28"/>
  <c r="N70" i="28"/>
  <c r="L70" i="28"/>
  <c r="M70" i="28"/>
  <c r="AB70" i="28"/>
  <c r="AC70" i="28"/>
  <c r="AA70" i="28"/>
  <c r="A70" i="28"/>
  <c r="S30" i="28"/>
  <c r="T30" i="28"/>
  <c r="U30" i="28"/>
  <c r="R30" i="28"/>
  <c r="J68" i="28"/>
  <c r="G32" i="28"/>
  <c r="K32" i="28"/>
  <c r="H32" i="28"/>
  <c r="I32" i="28"/>
  <c r="J31" i="28"/>
  <c r="K69" i="28"/>
  <c r="I69" i="28"/>
  <c r="H69" i="28"/>
  <c r="G69" i="28"/>
  <c r="Q68" i="28"/>
  <c r="O68" i="28"/>
  <c r="P68" i="28"/>
  <c r="AL30" i="73" l="1"/>
  <c r="AM30" i="73" s="1"/>
  <c r="U30" i="73" s="1"/>
  <c r="AP79" i="73"/>
  <c r="AU79" i="73" s="1"/>
  <c r="U79" i="73"/>
  <c r="AM114" i="73"/>
  <c r="U114" i="73" s="1"/>
  <c r="T114" i="73"/>
  <c r="AP78" i="73"/>
  <c r="AU78" i="73" s="1"/>
  <c r="AH78" i="73" s="1"/>
  <c r="U78" i="73"/>
  <c r="AM27" i="73"/>
  <c r="U27" i="73" s="1"/>
  <c r="T27" i="73"/>
  <c r="AL29" i="73"/>
  <c r="AY27" i="73"/>
  <c r="BB27" i="73" s="1"/>
  <c r="X27" i="73" s="1"/>
  <c r="AL26" i="73"/>
  <c r="BF30" i="73"/>
  <c r="Y30" i="73" s="1"/>
  <c r="AQ30" i="73"/>
  <c r="AT30" i="73" s="1"/>
  <c r="BF29" i="73"/>
  <c r="Y29" i="73" s="1"/>
  <c r="AQ29" i="73"/>
  <c r="AT29" i="73" s="1"/>
  <c r="AQ27" i="73"/>
  <c r="BG114" i="73"/>
  <c r="Z114" i="73" s="1"/>
  <c r="BF18" i="73"/>
  <c r="Y18" i="73" s="1"/>
  <c r="AQ18" i="73"/>
  <c r="AT18" i="73" s="1"/>
  <c r="AY17" i="73"/>
  <c r="BB17" i="73" s="1"/>
  <c r="X17" i="73" s="1"/>
  <c r="AL17" i="73"/>
  <c r="BF26" i="73"/>
  <c r="Y26" i="73" s="1"/>
  <c r="C89" i="28"/>
  <c r="F89" i="28" s="1"/>
  <c r="X88" i="28"/>
  <c r="D88" i="28"/>
  <c r="O56" i="36"/>
  <c r="X56" i="36"/>
  <c r="O97" i="36"/>
  <c r="X97" i="36"/>
  <c r="R94" i="36"/>
  <c r="U94" i="36" s="1"/>
  <c r="V94" i="36" s="1"/>
  <c r="M96" i="36"/>
  <c r="P96" i="36"/>
  <c r="Q96" i="36" s="1"/>
  <c r="K96" i="36"/>
  <c r="L96" i="36"/>
  <c r="N95" i="36"/>
  <c r="D56" i="36"/>
  <c r="E56" i="36" s="1"/>
  <c r="D97" i="36"/>
  <c r="E97" i="36" s="1"/>
  <c r="C57" i="36"/>
  <c r="G57" i="36" s="1"/>
  <c r="A96" i="36"/>
  <c r="C98" i="36"/>
  <c r="G98" i="36" s="1"/>
  <c r="J69" i="28"/>
  <c r="T31" i="28"/>
  <c r="S31" i="28"/>
  <c r="U31" i="28"/>
  <c r="R31" i="28"/>
  <c r="O32" i="28"/>
  <c r="P32" i="28"/>
  <c r="Q32" i="28"/>
  <c r="G70" i="28"/>
  <c r="K70" i="28"/>
  <c r="I70" i="28"/>
  <c r="H70" i="28"/>
  <c r="M71" i="28"/>
  <c r="L71" i="28"/>
  <c r="N71" i="28"/>
  <c r="AC71" i="28"/>
  <c r="A71" i="28"/>
  <c r="AB71" i="28"/>
  <c r="AA71" i="28"/>
  <c r="T68" i="28"/>
  <c r="U68" i="28"/>
  <c r="R68" i="28"/>
  <c r="S68" i="28"/>
  <c r="Q69" i="28"/>
  <c r="P69" i="28"/>
  <c r="O69" i="28"/>
  <c r="J32" i="28"/>
  <c r="T30" i="73" l="1"/>
  <c r="R78" i="73"/>
  <c r="Q78" i="73"/>
  <c r="P78" i="73"/>
  <c r="S78" i="73"/>
  <c r="V78" i="73" s="1"/>
  <c r="AH79" i="73"/>
  <c r="AG79" i="73" s="1"/>
  <c r="P79" i="73"/>
  <c r="Q79" i="73"/>
  <c r="S79" i="73"/>
  <c r="V79" i="73" s="1"/>
  <c r="R79" i="73"/>
  <c r="AG78" i="73"/>
  <c r="AM17" i="73"/>
  <c r="T17" i="73"/>
  <c r="AM26" i="73"/>
  <c r="U26" i="73" s="1"/>
  <c r="T26" i="73"/>
  <c r="AM29" i="73"/>
  <c r="U29" i="73" s="1"/>
  <c r="T29" i="73"/>
  <c r="C90" i="28"/>
  <c r="F90" i="28" s="1"/>
  <c r="X89" i="28"/>
  <c r="D89" i="28"/>
  <c r="O98" i="36"/>
  <c r="X98" i="36"/>
  <c r="O57" i="36"/>
  <c r="X57" i="36"/>
  <c r="N96" i="36"/>
  <c r="R96" i="36" s="1"/>
  <c r="U96" i="36" s="1"/>
  <c r="V96" i="36" s="1"/>
  <c r="L97" i="36"/>
  <c r="M97" i="36"/>
  <c r="K97" i="36"/>
  <c r="P97" i="36"/>
  <c r="Q97" i="36" s="1"/>
  <c r="R95" i="36"/>
  <c r="U95" i="36" s="1"/>
  <c r="V95" i="36" s="1"/>
  <c r="S95" i="36"/>
  <c r="D57" i="36"/>
  <c r="E57" i="36" s="1"/>
  <c r="D98" i="36"/>
  <c r="E98" i="36" s="1"/>
  <c r="S69" i="28"/>
  <c r="C58" i="36"/>
  <c r="G58" i="36" s="1"/>
  <c r="T69" i="28"/>
  <c r="A97" i="36"/>
  <c r="C99" i="36"/>
  <c r="G99" i="36" s="1"/>
  <c r="L72" i="28"/>
  <c r="M72" i="28"/>
  <c r="N72" i="28"/>
  <c r="AA72" i="28"/>
  <c r="AB72" i="28"/>
  <c r="AC72" i="28"/>
  <c r="A72" i="28"/>
  <c r="R32" i="28"/>
  <c r="S32" i="28"/>
  <c r="T32" i="28"/>
  <c r="U32" i="28"/>
  <c r="J70" i="28"/>
  <c r="R69" i="28"/>
  <c r="U69" i="28"/>
  <c r="G71" i="28"/>
  <c r="K71" i="28"/>
  <c r="H71" i="28"/>
  <c r="I71" i="28"/>
  <c r="P70" i="28"/>
  <c r="Q70" i="28"/>
  <c r="O70" i="28"/>
  <c r="AP17" i="73" l="1"/>
  <c r="U17" i="73"/>
  <c r="S96" i="36"/>
  <c r="C91" i="28"/>
  <c r="F91" i="28" s="1"/>
  <c r="X90" i="28"/>
  <c r="D90" i="28"/>
  <c r="O99" i="36"/>
  <c r="X99" i="36"/>
  <c r="O58" i="36"/>
  <c r="X58" i="36"/>
  <c r="K98" i="36"/>
  <c r="P98" i="36"/>
  <c r="Q98" i="36" s="1"/>
  <c r="L98" i="36"/>
  <c r="M98" i="36"/>
  <c r="N97" i="36"/>
  <c r="D58" i="36"/>
  <c r="E58" i="36" s="1"/>
  <c r="D99" i="36"/>
  <c r="E99" i="36" s="1"/>
  <c r="C59" i="36"/>
  <c r="G59" i="36" s="1"/>
  <c r="U70" i="28"/>
  <c r="S70" i="28"/>
  <c r="J71" i="28"/>
  <c r="R71" i="28" s="1"/>
  <c r="A98" i="36"/>
  <c r="C100" i="36"/>
  <c r="G100" i="36" s="1"/>
  <c r="G72" i="28"/>
  <c r="I72" i="28"/>
  <c r="H72" i="28"/>
  <c r="K72" i="28"/>
  <c r="M73" i="28"/>
  <c r="N73" i="28"/>
  <c r="L73" i="28"/>
  <c r="AA73" i="28"/>
  <c r="A73" i="28"/>
  <c r="AB73" i="28"/>
  <c r="AC73" i="28"/>
  <c r="O71" i="28"/>
  <c r="Q71" i="28"/>
  <c r="P71" i="28"/>
  <c r="R70" i="28"/>
  <c r="T70" i="28"/>
  <c r="C92" i="28" l="1"/>
  <c r="F92" i="28" s="1"/>
  <c r="X91" i="28"/>
  <c r="D91" i="28"/>
  <c r="O59" i="36"/>
  <c r="X59" i="36"/>
  <c r="O100" i="36"/>
  <c r="X100" i="36"/>
  <c r="N98" i="36"/>
  <c r="S98" i="36" s="1"/>
  <c r="R97" i="36"/>
  <c r="U97" i="36" s="1"/>
  <c r="V97" i="36" s="1"/>
  <c r="S97" i="36"/>
  <c r="M99" i="36"/>
  <c r="P99" i="36"/>
  <c r="Q99" i="36" s="1"/>
  <c r="K99" i="36"/>
  <c r="L99" i="36"/>
  <c r="D59" i="36"/>
  <c r="E59" i="36" s="1"/>
  <c r="D100" i="36"/>
  <c r="E100" i="36" s="1"/>
  <c r="C60" i="36"/>
  <c r="G60" i="36" s="1"/>
  <c r="U71" i="28"/>
  <c r="S71" i="28"/>
  <c r="T71" i="28"/>
  <c r="A99" i="36"/>
  <c r="C101" i="36"/>
  <c r="G101" i="36" s="1"/>
  <c r="N74" i="28"/>
  <c r="L74" i="28"/>
  <c r="M74" i="28"/>
  <c r="AB74" i="28"/>
  <c r="AA74" i="28"/>
  <c r="AC74" i="28"/>
  <c r="A74" i="28"/>
  <c r="O72" i="28"/>
  <c r="Q72" i="28"/>
  <c r="P72" i="28"/>
  <c r="H73" i="28"/>
  <c r="I73" i="28"/>
  <c r="K73" i="28"/>
  <c r="G73" i="28"/>
  <c r="J72" i="28"/>
  <c r="C93" i="28" l="1"/>
  <c r="F93" i="28" s="1"/>
  <c r="X92" i="28"/>
  <c r="D92" i="28"/>
  <c r="O101" i="36"/>
  <c r="X101" i="36"/>
  <c r="O60" i="36"/>
  <c r="X60" i="36"/>
  <c r="R98" i="36"/>
  <c r="U98" i="36" s="1"/>
  <c r="V98" i="36" s="1"/>
  <c r="P100" i="36"/>
  <c r="Q100" i="36" s="1"/>
  <c r="K100" i="36"/>
  <c r="L100" i="36"/>
  <c r="M100" i="36"/>
  <c r="N99" i="36"/>
  <c r="D60" i="36"/>
  <c r="E60" i="36" s="1"/>
  <c r="D101" i="36"/>
  <c r="E101" i="36" s="1"/>
  <c r="C61" i="36"/>
  <c r="G61" i="36" s="1"/>
  <c r="J73" i="28"/>
  <c r="R73" i="28" s="1"/>
  <c r="T72" i="28"/>
  <c r="A100" i="36"/>
  <c r="C102" i="36"/>
  <c r="G102" i="36" s="1"/>
  <c r="P73" i="28"/>
  <c r="Q73" i="28"/>
  <c r="O73" i="28"/>
  <c r="I74" i="28"/>
  <c r="H74" i="28"/>
  <c r="G74" i="28"/>
  <c r="K74" i="28"/>
  <c r="S72" i="28"/>
  <c r="M75" i="28"/>
  <c r="L75" i="28"/>
  <c r="N75" i="28"/>
  <c r="AA75" i="28"/>
  <c r="AB75" i="28"/>
  <c r="AC75" i="28"/>
  <c r="A75" i="28"/>
  <c r="R72" i="28"/>
  <c r="U72" i="28"/>
  <c r="C94" i="28" l="1"/>
  <c r="F94" i="28" s="1"/>
  <c r="X93" i="28"/>
  <c r="D93" i="28"/>
  <c r="O61" i="36"/>
  <c r="X61" i="36"/>
  <c r="O102" i="36"/>
  <c r="X102" i="36"/>
  <c r="S99" i="36"/>
  <c r="R99" i="36"/>
  <c r="U99" i="36" s="1"/>
  <c r="V99" i="36" s="1"/>
  <c r="N100" i="36"/>
  <c r="P101" i="36"/>
  <c r="Q101" i="36" s="1"/>
  <c r="K101" i="36"/>
  <c r="M101" i="36"/>
  <c r="L101" i="36"/>
  <c r="D61" i="36"/>
  <c r="E61" i="36" s="1"/>
  <c r="D102" i="36"/>
  <c r="E102" i="36" s="1"/>
  <c r="C62" i="36"/>
  <c r="G62" i="36" s="1"/>
  <c r="U73" i="28"/>
  <c r="T73" i="28"/>
  <c r="S73" i="28"/>
  <c r="A101" i="36"/>
  <c r="C103" i="36"/>
  <c r="G103" i="36" s="1"/>
  <c r="O74" i="28"/>
  <c r="P74" i="28"/>
  <c r="Q74" i="28"/>
  <c r="N81" i="28"/>
  <c r="M81" i="28"/>
  <c r="L81" i="28"/>
  <c r="AA81" i="28"/>
  <c r="A81" i="28"/>
  <c r="AC81" i="28"/>
  <c r="AB81" i="28"/>
  <c r="J74" i="28"/>
  <c r="K75" i="28"/>
  <c r="G75" i="28"/>
  <c r="H75" i="28"/>
  <c r="I75" i="28"/>
  <c r="C95" i="28" l="1"/>
  <c r="F95" i="28" s="1"/>
  <c r="X94" i="28"/>
  <c r="D94" i="28"/>
  <c r="C63" i="36"/>
  <c r="G63" i="36" s="1"/>
  <c r="O103" i="36"/>
  <c r="X103" i="36"/>
  <c r="O62" i="36"/>
  <c r="X62" i="36"/>
  <c r="N101" i="36"/>
  <c r="S101" i="36" s="1"/>
  <c r="S100" i="36"/>
  <c r="R100" i="36"/>
  <c r="U100" i="36" s="1"/>
  <c r="V100" i="36" s="1"/>
  <c r="M102" i="36"/>
  <c r="P102" i="36"/>
  <c r="Q102" i="36" s="1"/>
  <c r="K102" i="36"/>
  <c r="L102" i="36"/>
  <c r="D62" i="36"/>
  <c r="E62" i="36" s="1"/>
  <c r="D103" i="36"/>
  <c r="E103" i="36" s="1"/>
  <c r="J75" i="28"/>
  <c r="R75" i="28" s="1"/>
  <c r="A102" i="36"/>
  <c r="L82" i="28"/>
  <c r="N82" i="28"/>
  <c r="M82" i="28"/>
  <c r="AC82" i="28"/>
  <c r="AB82" i="28"/>
  <c r="AA82" i="28"/>
  <c r="A82" i="28"/>
  <c r="R74" i="28"/>
  <c r="U74" i="28"/>
  <c r="T74" i="28"/>
  <c r="S74" i="28"/>
  <c r="Q75" i="28"/>
  <c r="P75" i="28"/>
  <c r="O75" i="28"/>
  <c r="G81" i="28"/>
  <c r="K81" i="28"/>
  <c r="I81" i="28"/>
  <c r="H81" i="28"/>
  <c r="B66" i="36" l="1"/>
  <c r="C96" i="28"/>
  <c r="F96" i="28" s="1"/>
  <c r="X95" i="28"/>
  <c r="D95" i="28"/>
  <c r="D63" i="36"/>
  <c r="E63" i="36" s="1"/>
  <c r="O63" i="36"/>
  <c r="X63" i="36"/>
  <c r="R101" i="36"/>
  <c r="U101" i="36" s="1"/>
  <c r="V101" i="36" s="1"/>
  <c r="P103" i="36"/>
  <c r="Q103" i="36" s="1"/>
  <c r="K103" i="36"/>
  <c r="L103" i="36"/>
  <c r="M103" i="36"/>
  <c r="N102" i="36"/>
  <c r="S75" i="28"/>
  <c r="T75" i="28"/>
  <c r="U75" i="28"/>
  <c r="A103" i="36"/>
  <c r="I82" i="28"/>
  <c r="G82" i="28"/>
  <c r="H82" i="28"/>
  <c r="K82" i="28"/>
  <c r="O81" i="28"/>
  <c r="P81" i="28"/>
  <c r="Q81" i="28"/>
  <c r="J81" i="28"/>
  <c r="M83" i="28"/>
  <c r="L83" i="28"/>
  <c r="N83" i="28"/>
  <c r="AC83" i="28"/>
  <c r="A83" i="28"/>
  <c r="AB83" i="28"/>
  <c r="AA83" i="28"/>
  <c r="B106" i="36" l="1"/>
  <c r="B158" i="36" s="1"/>
  <c r="B160" i="36" s="1"/>
  <c r="B196" i="36" s="1"/>
  <c r="B210" i="36" s="1"/>
  <c r="B212" i="36" s="1"/>
  <c r="E22" i="62"/>
  <c r="E25" i="62"/>
  <c r="C97" i="28"/>
  <c r="X96" i="28"/>
  <c r="D96" i="28"/>
  <c r="N103" i="36"/>
  <c r="S103" i="36" s="1"/>
  <c r="R102" i="36"/>
  <c r="U102" i="36" s="1"/>
  <c r="V102" i="36" s="1"/>
  <c r="S102" i="36"/>
  <c r="U81" i="28"/>
  <c r="S81" i="28"/>
  <c r="R81" i="28"/>
  <c r="T81" i="28"/>
  <c r="P82" i="28"/>
  <c r="Q82" i="28"/>
  <c r="O82" i="28"/>
  <c r="H83" i="28"/>
  <c r="G83" i="28"/>
  <c r="K83" i="28"/>
  <c r="I83" i="28"/>
  <c r="J82" i="28"/>
  <c r="N84" i="28"/>
  <c r="M84" i="28"/>
  <c r="L84" i="28"/>
  <c r="AC84" i="28"/>
  <c r="A84" i="28"/>
  <c r="AA84" i="28"/>
  <c r="AB84" i="28"/>
  <c r="F55" i="62"/>
  <c r="B225" i="36" l="1"/>
  <c r="B8" i="30" s="1"/>
  <c r="E27" i="62"/>
  <c r="F97" i="28"/>
  <c r="E23" i="62"/>
  <c r="C98" i="28"/>
  <c r="X97" i="28"/>
  <c r="D97" i="28"/>
  <c r="R103" i="36"/>
  <c r="U103" i="36" s="1"/>
  <c r="V103" i="36" s="1"/>
  <c r="J83" i="28"/>
  <c r="R83" i="28" s="1"/>
  <c r="M85" i="28"/>
  <c r="L85" i="28"/>
  <c r="N85" i="28"/>
  <c r="AA85" i="28"/>
  <c r="AC85" i="28"/>
  <c r="A85" i="28"/>
  <c r="AB85" i="28"/>
  <c r="T82" i="28"/>
  <c r="S82" i="28"/>
  <c r="R82" i="28"/>
  <c r="U82" i="28"/>
  <c r="P83" i="28"/>
  <c r="O83" i="28"/>
  <c r="Q83" i="28"/>
  <c r="H84" i="28"/>
  <c r="K84" i="28"/>
  <c r="G84" i="28"/>
  <c r="I84" i="28"/>
  <c r="B32" i="62" l="1"/>
  <c r="E32" i="62" s="1"/>
  <c r="B10" i="30"/>
  <c r="B30" i="30" s="1"/>
  <c r="F98" i="28"/>
  <c r="B33" i="62"/>
  <c r="C99" i="28"/>
  <c r="F99" i="28" s="1"/>
  <c r="X98" i="28"/>
  <c r="D98" i="28"/>
  <c r="T83" i="28"/>
  <c r="U83" i="28"/>
  <c r="S83" i="28"/>
  <c r="J84" i="28"/>
  <c r="N86" i="28"/>
  <c r="M86" i="28"/>
  <c r="L86" i="28"/>
  <c r="AC86" i="28"/>
  <c r="A86" i="28"/>
  <c r="AA86" i="28"/>
  <c r="AB86" i="28"/>
  <c r="Q84" i="28"/>
  <c r="O84" i="28"/>
  <c r="P84" i="28"/>
  <c r="G85" i="28"/>
  <c r="K85" i="28"/>
  <c r="H85" i="28"/>
  <c r="I85" i="28"/>
  <c r="F57" i="62"/>
  <c r="B64" i="30" l="1"/>
  <c r="B91" i="30" s="1"/>
  <c r="B127" i="30" s="1"/>
  <c r="B147" i="30" s="1"/>
  <c r="B154" i="30" s="1"/>
  <c r="B162" i="30" s="1"/>
  <c r="B177" i="30" s="1"/>
  <c r="B34" i="62"/>
  <c r="E33" i="62"/>
  <c r="C100" i="28"/>
  <c r="F100" i="28" s="1"/>
  <c r="X99" i="28"/>
  <c r="D99" i="28"/>
  <c r="T84" i="28"/>
  <c r="S84" i="28"/>
  <c r="O85" i="28"/>
  <c r="Q85" i="28"/>
  <c r="P85" i="28"/>
  <c r="H86" i="28"/>
  <c r="G86" i="28"/>
  <c r="K86" i="28"/>
  <c r="I86" i="28"/>
  <c r="J85" i="28"/>
  <c r="M87" i="28"/>
  <c r="L87" i="28"/>
  <c r="N87" i="28"/>
  <c r="AB87" i="28"/>
  <c r="AA87" i="28"/>
  <c r="AC87" i="28"/>
  <c r="A87" i="28"/>
  <c r="R84" i="28"/>
  <c r="U84" i="28"/>
  <c r="F58" i="62"/>
  <c r="B35" i="62" l="1"/>
  <c r="E34" i="62"/>
  <c r="C101" i="28"/>
  <c r="F101" i="28" s="1"/>
  <c r="X100" i="28"/>
  <c r="D100" i="28"/>
  <c r="R85" i="28"/>
  <c r="S85" i="28"/>
  <c r="T85" i="28"/>
  <c r="G87" i="28"/>
  <c r="I87" i="28"/>
  <c r="H87" i="28"/>
  <c r="K87" i="28"/>
  <c r="Q86" i="28"/>
  <c r="O86" i="28"/>
  <c r="P86" i="28"/>
  <c r="U85" i="28"/>
  <c r="M88" i="28"/>
  <c r="L88" i="28"/>
  <c r="N88" i="28"/>
  <c r="AA88" i="28"/>
  <c r="A88" i="28"/>
  <c r="AC88" i="28"/>
  <c r="AB88" i="28"/>
  <c r="J86" i="28"/>
  <c r="F59" i="62"/>
  <c r="E35" i="62" l="1"/>
  <c r="B36" i="62"/>
  <c r="C102" i="28"/>
  <c r="F102" i="28" s="1"/>
  <c r="X101" i="28"/>
  <c r="D101" i="28"/>
  <c r="J87" i="28"/>
  <c r="R87" i="28" s="1"/>
  <c r="I88" i="28"/>
  <c r="H88" i="28"/>
  <c r="K88" i="28"/>
  <c r="G88" i="28"/>
  <c r="O87" i="28"/>
  <c r="Q87" i="28"/>
  <c r="P87" i="28"/>
  <c r="T86" i="28"/>
  <c r="R86" i="28"/>
  <c r="U86" i="28"/>
  <c r="N89" i="28"/>
  <c r="M89" i="28"/>
  <c r="L89" i="28"/>
  <c r="AB89" i="28"/>
  <c r="AA89" i="28"/>
  <c r="AC89" i="28"/>
  <c r="A89" i="28"/>
  <c r="S86" i="28"/>
  <c r="B37" i="62" l="1"/>
  <c r="E36" i="62"/>
  <c r="C103" i="28"/>
  <c r="F103" i="28" s="1"/>
  <c r="X102" i="28"/>
  <c r="D102" i="28"/>
  <c r="U87" i="28"/>
  <c r="S87" i="28"/>
  <c r="T87" i="28"/>
  <c r="J88" i="28"/>
  <c r="R88" i="28" s="1"/>
  <c r="H89" i="28"/>
  <c r="G89" i="28"/>
  <c r="I89" i="28"/>
  <c r="K89" i="28"/>
  <c r="P88" i="28"/>
  <c r="Q88" i="28"/>
  <c r="O88" i="28"/>
  <c r="M90" i="28"/>
  <c r="L90" i="28"/>
  <c r="N90" i="28"/>
  <c r="AA90" i="28"/>
  <c r="AB90" i="28"/>
  <c r="AC90" i="28"/>
  <c r="A90" i="28"/>
  <c r="F61" i="62"/>
  <c r="B38" i="62" l="1"/>
  <c r="E37" i="62"/>
  <c r="C104" i="28"/>
  <c r="F104" i="28" s="1"/>
  <c r="X103" i="28"/>
  <c r="D103" i="28"/>
  <c r="T88" i="28"/>
  <c r="S88" i="28"/>
  <c r="U88" i="28"/>
  <c r="J89" i="28"/>
  <c r="R89" i="28" s="1"/>
  <c r="P89" i="28"/>
  <c r="Q89" i="28"/>
  <c r="O89" i="28"/>
  <c r="N91" i="28"/>
  <c r="M91" i="28"/>
  <c r="L91" i="28"/>
  <c r="AA91" i="28"/>
  <c r="AC91" i="28"/>
  <c r="A91" i="28"/>
  <c r="AB91" i="28"/>
  <c r="I90" i="28"/>
  <c r="H90" i="28"/>
  <c r="K90" i="28"/>
  <c r="G90" i="28"/>
  <c r="F62" i="62"/>
  <c r="F63" i="62" s="1"/>
  <c r="B39" i="62" l="1"/>
  <c r="B40" i="62" s="1"/>
  <c r="B41" i="62" s="1"/>
  <c r="E38" i="62"/>
  <c r="C105" i="28"/>
  <c r="F105" i="28" s="1"/>
  <c r="X104" i="28"/>
  <c r="D104" i="28"/>
  <c r="U89" i="28"/>
  <c r="T89" i="28"/>
  <c r="S89" i="28"/>
  <c r="J90" i="28"/>
  <c r="R90" i="28" s="1"/>
  <c r="O90" i="28"/>
  <c r="Q90" i="28"/>
  <c r="P90" i="28"/>
  <c r="N92" i="28"/>
  <c r="M92" i="28"/>
  <c r="L92" i="28"/>
  <c r="AB92" i="28"/>
  <c r="A92" i="28"/>
  <c r="AA92" i="28"/>
  <c r="AC92" i="28"/>
  <c r="H91" i="28"/>
  <c r="G91" i="28"/>
  <c r="K91" i="28"/>
  <c r="I91" i="28"/>
  <c r="B43" i="62" l="1"/>
  <c r="B44" i="62" s="1"/>
  <c r="B45" i="62" s="1"/>
  <c r="B46" i="62" s="1"/>
  <c r="C106" i="28"/>
  <c r="F106" i="28" s="1"/>
  <c r="X105" i="28"/>
  <c r="D105" i="28"/>
  <c r="S90" i="28"/>
  <c r="T90" i="28"/>
  <c r="U90" i="28"/>
  <c r="I92" i="28"/>
  <c r="K92" i="28"/>
  <c r="H92" i="28"/>
  <c r="G92" i="28"/>
  <c r="O91" i="28"/>
  <c r="P91" i="28"/>
  <c r="Q91" i="28"/>
  <c r="J91" i="28"/>
  <c r="M93" i="28"/>
  <c r="L93" i="28"/>
  <c r="N93" i="28"/>
  <c r="AB93" i="28"/>
  <c r="AA93" i="28"/>
  <c r="AC93" i="28"/>
  <c r="A93" i="28"/>
  <c r="F65" i="62"/>
  <c r="B48" i="62" l="1"/>
  <c r="C107" i="28"/>
  <c r="F107" i="28" s="1"/>
  <c r="X106" i="28"/>
  <c r="D106" i="28"/>
  <c r="J92" i="28"/>
  <c r="R92" i="28" s="1"/>
  <c r="G93" i="28"/>
  <c r="K93" i="28"/>
  <c r="I93" i="28"/>
  <c r="H93" i="28"/>
  <c r="U91" i="28"/>
  <c r="S91" i="28"/>
  <c r="R91" i="28"/>
  <c r="T91" i="28"/>
  <c r="N94" i="28"/>
  <c r="L94" i="28"/>
  <c r="M94" i="28"/>
  <c r="AC94" i="28"/>
  <c r="AB94" i="28"/>
  <c r="AA94" i="28"/>
  <c r="A94" i="28"/>
  <c r="Q92" i="28"/>
  <c r="P92" i="28"/>
  <c r="O92" i="28"/>
  <c r="F66" i="62"/>
  <c r="B49" i="62" l="1"/>
  <c r="B50" i="62" s="1"/>
  <c r="C108" i="28"/>
  <c r="F108" i="28" s="1"/>
  <c r="X107" i="28"/>
  <c r="D107" i="28"/>
  <c r="U92" i="28"/>
  <c r="S92" i="28"/>
  <c r="T92" i="28"/>
  <c r="G94" i="28"/>
  <c r="K94" i="28"/>
  <c r="H94" i="28"/>
  <c r="I94" i="28"/>
  <c r="O93" i="28"/>
  <c r="P93" i="28"/>
  <c r="Q93" i="28"/>
  <c r="M95" i="28"/>
  <c r="L95" i="28"/>
  <c r="N95" i="28"/>
  <c r="AC95" i="28"/>
  <c r="AB95" i="28"/>
  <c r="A95" i="28"/>
  <c r="AA95" i="28"/>
  <c r="J93" i="28"/>
  <c r="F67" i="62"/>
  <c r="I4" i="62" l="1"/>
  <c r="C109" i="28"/>
  <c r="F109" i="28" s="1"/>
  <c r="X108" i="28"/>
  <c r="D108" i="28"/>
  <c r="H95" i="28"/>
  <c r="G95" i="28"/>
  <c r="I95" i="28"/>
  <c r="K95" i="28"/>
  <c r="M96" i="28"/>
  <c r="L96" i="28"/>
  <c r="N96" i="28"/>
  <c r="A96" i="28"/>
  <c r="AB96" i="28"/>
  <c r="AC96" i="28"/>
  <c r="AA96" i="28"/>
  <c r="Q94" i="28"/>
  <c r="P94" i="28"/>
  <c r="O94" i="28"/>
  <c r="T93" i="28"/>
  <c r="R93" i="28"/>
  <c r="U93" i="28"/>
  <c r="S93" i="28"/>
  <c r="J94" i="28"/>
  <c r="D16" i="73" l="1"/>
  <c r="AW16" i="73" s="1"/>
  <c r="I5" i="62"/>
  <c r="I6" i="62" s="1"/>
  <c r="I7" i="62" s="1"/>
  <c r="C110" i="28"/>
  <c r="F110" i="28" s="1"/>
  <c r="X109" i="28"/>
  <c r="D109" i="28"/>
  <c r="S94" i="28"/>
  <c r="R94" i="28"/>
  <c r="T94" i="28"/>
  <c r="U94" i="28"/>
  <c r="G96" i="28"/>
  <c r="I96" i="28"/>
  <c r="H96" i="28"/>
  <c r="K96" i="28"/>
  <c r="N97" i="28"/>
  <c r="M97" i="28"/>
  <c r="L97" i="28"/>
  <c r="AB97" i="28"/>
  <c r="AC97" i="28"/>
  <c r="AA97" i="28"/>
  <c r="A97" i="28"/>
  <c r="P95" i="28"/>
  <c r="Q95" i="28"/>
  <c r="O95" i="28"/>
  <c r="J95" i="28"/>
  <c r="R95" i="28" s="1"/>
  <c r="I8" i="62" l="1"/>
  <c r="I10" i="62"/>
  <c r="I11" i="62" s="1"/>
  <c r="I12" i="62" s="1"/>
  <c r="C111" i="28"/>
  <c r="F111" i="28" s="1"/>
  <c r="X110" i="28"/>
  <c r="D110" i="28"/>
  <c r="S95" i="28"/>
  <c r="P96" i="28"/>
  <c r="O96" i="28"/>
  <c r="Q96" i="28"/>
  <c r="U95" i="28"/>
  <c r="I97" i="28"/>
  <c r="H97" i="28"/>
  <c r="K97" i="28"/>
  <c r="G97" i="28"/>
  <c r="T95" i="28"/>
  <c r="M98" i="28"/>
  <c r="L98" i="28"/>
  <c r="N98" i="28"/>
  <c r="AB98" i="28"/>
  <c r="A98" i="28"/>
  <c r="AA98" i="28"/>
  <c r="AC98" i="28"/>
  <c r="J96" i="28"/>
  <c r="I14" i="62" l="1"/>
  <c r="I15" i="62" s="1"/>
  <c r="C112" i="28"/>
  <c r="F112" i="28" s="1"/>
  <c r="X111" i="28"/>
  <c r="D111" i="28"/>
  <c r="R96" i="28"/>
  <c r="T96" i="28"/>
  <c r="S96" i="28"/>
  <c r="U96" i="28"/>
  <c r="I98" i="28"/>
  <c r="H98" i="28"/>
  <c r="K98" i="28"/>
  <c r="G98" i="28"/>
  <c r="N99" i="28"/>
  <c r="L99" i="28"/>
  <c r="M99" i="28"/>
  <c r="A99" i="28"/>
  <c r="AC99" i="28"/>
  <c r="AA99" i="28"/>
  <c r="AB99" i="28"/>
  <c r="Q97" i="28"/>
  <c r="P97" i="28"/>
  <c r="O97" i="28"/>
  <c r="J97" i="28"/>
  <c r="F69" i="62"/>
  <c r="I16" i="62" l="1"/>
  <c r="I17" i="62" s="1"/>
  <c r="C113" i="28"/>
  <c r="F113" i="28" s="1"/>
  <c r="X112" i="28"/>
  <c r="D112" i="28"/>
  <c r="I99" i="28"/>
  <c r="H99" i="28"/>
  <c r="K99" i="28"/>
  <c r="G99" i="28"/>
  <c r="N100" i="28"/>
  <c r="M100" i="28"/>
  <c r="L100" i="28"/>
  <c r="AA100" i="28"/>
  <c r="A100" i="28"/>
  <c r="AC100" i="28"/>
  <c r="AB100" i="28"/>
  <c r="J98" i="28"/>
  <c r="O98" i="28"/>
  <c r="P98" i="28"/>
  <c r="Q98" i="28"/>
  <c r="U97" i="28"/>
  <c r="S97" i="28"/>
  <c r="T97" i="28"/>
  <c r="R97" i="28"/>
  <c r="F70" i="62"/>
  <c r="I18" i="62" l="1"/>
  <c r="I21" i="62"/>
  <c r="I22" i="62" s="1"/>
  <c r="I23" i="62" s="1"/>
  <c r="C114" i="28"/>
  <c r="F114" i="28" s="1"/>
  <c r="X113" i="28"/>
  <c r="D113" i="28"/>
  <c r="G100" i="28"/>
  <c r="I100" i="28"/>
  <c r="K100" i="28"/>
  <c r="H100" i="28"/>
  <c r="J99" i="28"/>
  <c r="O99" i="28"/>
  <c r="P99" i="28"/>
  <c r="Q99" i="28"/>
  <c r="R98" i="28"/>
  <c r="T98" i="28"/>
  <c r="U98" i="28"/>
  <c r="S98" i="28"/>
  <c r="L101" i="28"/>
  <c r="M101" i="28"/>
  <c r="N101" i="28"/>
  <c r="A101" i="28"/>
  <c r="AA101" i="28"/>
  <c r="AB101" i="28"/>
  <c r="AC101" i="28"/>
  <c r="F71" i="62"/>
  <c r="I19" i="62" l="1"/>
  <c r="C115" i="28"/>
  <c r="F115" i="28" s="1"/>
  <c r="X114" i="28"/>
  <c r="D114" i="28"/>
  <c r="H101" i="28"/>
  <c r="I101" i="28"/>
  <c r="G101" i="28"/>
  <c r="K101" i="28"/>
  <c r="P100" i="28"/>
  <c r="O100" i="28"/>
  <c r="Q100" i="28"/>
  <c r="M102" i="28"/>
  <c r="N102" i="28"/>
  <c r="L102" i="28"/>
  <c r="AB102" i="28"/>
  <c r="AC102" i="28"/>
  <c r="A102" i="28"/>
  <c r="AA102" i="28"/>
  <c r="U99" i="28"/>
  <c r="T99" i="28"/>
  <c r="S99" i="28"/>
  <c r="R99" i="28"/>
  <c r="J100" i="28"/>
  <c r="I25" i="62" l="1"/>
  <c r="I26" i="62" s="1"/>
  <c r="X115" i="28"/>
  <c r="D115" i="28"/>
  <c r="F73" i="62"/>
  <c r="F74" i="62" s="1"/>
  <c r="F75" i="62" s="1"/>
  <c r="K102" i="28"/>
  <c r="H102" i="28"/>
  <c r="G102" i="28"/>
  <c r="I102" i="28"/>
  <c r="O101" i="28"/>
  <c r="Q101" i="28"/>
  <c r="P101" i="28"/>
  <c r="M103" i="28"/>
  <c r="L103" i="28"/>
  <c r="N103" i="28"/>
  <c r="AB103" i="28"/>
  <c r="AA103" i="28"/>
  <c r="A103" i="28"/>
  <c r="AC103" i="28"/>
  <c r="U100" i="28"/>
  <c r="J101" i="28"/>
  <c r="R100" i="28"/>
  <c r="S100" i="28"/>
  <c r="T100" i="28"/>
  <c r="I103" i="28" l="1"/>
  <c r="H103" i="28"/>
  <c r="G103" i="28"/>
  <c r="K103" i="28"/>
  <c r="J102" i="28"/>
  <c r="T101" i="28"/>
  <c r="U101" i="28"/>
  <c r="R101" i="28"/>
  <c r="S101" i="28"/>
  <c r="M104" i="28"/>
  <c r="L104" i="28"/>
  <c r="N104" i="28"/>
  <c r="AC104" i="28"/>
  <c r="AA104" i="28"/>
  <c r="AB104" i="28"/>
  <c r="A104" i="28"/>
  <c r="P102" i="28"/>
  <c r="O102" i="28"/>
  <c r="Q102" i="28"/>
  <c r="I27" i="62"/>
  <c r="I28" i="62" s="1"/>
  <c r="I29" i="62" l="1"/>
  <c r="I31" i="62"/>
  <c r="U102" i="28"/>
  <c r="O103" i="28"/>
  <c r="Q103" i="28"/>
  <c r="P103" i="28"/>
  <c r="T102" i="28"/>
  <c r="J103" i="28"/>
  <c r="G104" i="28"/>
  <c r="H104" i="28"/>
  <c r="K104" i="28"/>
  <c r="I104" i="28"/>
  <c r="N105" i="28"/>
  <c r="M105" i="28"/>
  <c r="L105" i="28"/>
  <c r="AA105" i="28"/>
  <c r="A105" i="28"/>
  <c r="AC105" i="28"/>
  <c r="AB105" i="28"/>
  <c r="S102" i="28"/>
  <c r="R102" i="28"/>
  <c r="J104" i="28" l="1"/>
  <c r="U103" i="28"/>
  <c r="O104" i="28"/>
  <c r="P104" i="28"/>
  <c r="Q104" i="28"/>
  <c r="U104" i="28" s="1"/>
  <c r="I105" i="28"/>
  <c r="H105" i="28"/>
  <c r="G105" i="28"/>
  <c r="K105" i="28"/>
  <c r="L106" i="28"/>
  <c r="M106" i="28"/>
  <c r="N106" i="28"/>
  <c r="AB106" i="28"/>
  <c r="AA106" i="28"/>
  <c r="A106" i="28"/>
  <c r="AC106" i="28"/>
  <c r="T103" i="28"/>
  <c r="R103" i="28"/>
  <c r="S103" i="28"/>
  <c r="J105" i="28" l="1"/>
  <c r="R105" i="28" s="1"/>
  <c r="T104" i="28"/>
  <c r="R104" i="28"/>
  <c r="S104" i="28"/>
  <c r="G106" i="28"/>
  <c r="K106" i="28"/>
  <c r="I106" i="28"/>
  <c r="H106" i="28"/>
  <c r="L107" i="28"/>
  <c r="N107" i="28"/>
  <c r="M107" i="28"/>
  <c r="AC107" i="28"/>
  <c r="AB107" i="28"/>
  <c r="AA107" i="28"/>
  <c r="A107" i="28"/>
  <c r="Q105" i="28"/>
  <c r="O105" i="28"/>
  <c r="P105" i="28"/>
  <c r="I32" i="62"/>
  <c r="F77" i="62"/>
  <c r="I33" i="62" l="1"/>
  <c r="T105" i="28"/>
  <c r="S105" i="28"/>
  <c r="U105" i="28"/>
  <c r="J106" i="28"/>
  <c r="R106" i="28" s="1"/>
  <c r="M108" i="28"/>
  <c r="N108" i="28"/>
  <c r="L108" i="28"/>
  <c r="AB108" i="28"/>
  <c r="AA108" i="28"/>
  <c r="A108" i="28"/>
  <c r="AC108" i="28"/>
  <c r="O106" i="28"/>
  <c r="Q106" i="28"/>
  <c r="P106" i="28"/>
  <c r="I107" i="28"/>
  <c r="H107" i="28"/>
  <c r="G107" i="28"/>
  <c r="K107" i="28"/>
  <c r="F78" i="62"/>
  <c r="F79" i="62" s="1"/>
  <c r="I35" i="62" l="1"/>
  <c r="F80" i="62"/>
  <c r="T106" i="28"/>
  <c r="U106" i="28"/>
  <c r="S106" i="28"/>
  <c r="O107" i="28"/>
  <c r="Q107" i="28"/>
  <c r="P107" i="28"/>
  <c r="J107" i="28"/>
  <c r="L109" i="28"/>
  <c r="N109" i="28"/>
  <c r="M109" i="28"/>
  <c r="AC109" i="28"/>
  <c r="AA109" i="28"/>
  <c r="A109" i="28"/>
  <c r="AB109" i="28"/>
  <c r="I108" i="28"/>
  <c r="H108" i="28"/>
  <c r="K108" i="28"/>
  <c r="G108" i="28"/>
  <c r="Q108" i="28" l="1"/>
  <c r="O108" i="28"/>
  <c r="P108" i="28"/>
  <c r="N110" i="28"/>
  <c r="M110" i="28"/>
  <c r="L110" i="28"/>
  <c r="AB110" i="28"/>
  <c r="A110" i="28"/>
  <c r="AA110" i="28"/>
  <c r="AC110" i="28"/>
  <c r="R107" i="28"/>
  <c r="T107" i="28"/>
  <c r="S107" i="28"/>
  <c r="U107" i="28"/>
  <c r="G109" i="28"/>
  <c r="K109" i="28"/>
  <c r="I109" i="28"/>
  <c r="H109" i="28"/>
  <c r="J108" i="28"/>
  <c r="F83" i="62" l="1"/>
  <c r="L111" i="28"/>
  <c r="N111" i="28"/>
  <c r="M111" i="28"/>
  <c r="AB111" i="28"/>
  <c r="AC111" i="28"/>
  <c r="AA111" i="28"/>
  <c r="A111" i="28"/>
  <c r="O109" i="28"/>
  <c r="Q109" i="28"/>
  <c r="P109" i="28"/>
  <c r="I110" i="28"/>
  <c r="H110" i="28"/>
  <c r="G110" i="28"/>
  <c r="K110" i="28"/>
  <c r="R108" i="28"/>
  <c r="T108" i="28"/>
  <c r="S108" i="28"/>
  <c r="J109" i="28"/>
  <c r="R109" i="28" s="1"/>
  <c r="U108" i="28"/>
  <c r="F85" i="62" l="1"/>
  <c r="F86" i="62" s="1"/>
  <c r="O110" i="28"/>
  <c r="Q110" i="28"/>
  <c r="P110" i="28"/>
  <c r="J110" i="28"/>
  <c r="R110" i="28" s="1"/>
  <c r="U109" i="28"/>
  <c r="N112" i="28"/>
  <c r="L112" i="28"/>
  <c r="M112" i="28"/>
  <c r="AA112" i="28"/>
  <c r="A112" i="28"/>
  <c r="AB112" i="28"/>
  <c r="AC112" i="28"/>
  <c r="S109" i="28"/>
  <c r="T109" i="28"/>
  <c r="I111" i="28"/>
  <c r="H111" i="28"/>
  <c r="G111" i="28"/>
  <c r="K111" i="28"/>
  <c r="I36" i="62"/>
  <c r="P111" i="28" l="1"/>
  <c r="Q111" i="28"/>
  <c r="O111" i="28"/>
  <c r="J111" i="28"/>
  <c r="T110" i="28"/>
  <c r="K112" i="28"/>
  <c r="G112" i="28"/>
  <c r="H112" i="28"/>
  <c r="I112" i="28"/>
  <c r="N113" i="28"/>
  <c r="M113" i="28"/>
  <c r="L113" i="28"/>
  <c r="AA113" i="28"/>
  <c r="A113" i="28"/>
  <c r="AB113" i="28"/>
  <c r="AC113" i="28"/>
  <c r="U110" i="28"/>
  <c r="S110" i="28"/>
  <c r="I37" i="62"/>
  <c r="I38" i="62" s="1"/>
  <c r="I39" i="62" s="1"/>
  <c r="I40" i="62" l="1"/>
  <c r="I42" i="62"/>
  <c r="I43" i="62" s="1"/>
  <c r="U111" i="28"/>
  <c r="T111" i="28"/>
  <c r="J112" i="28"/>
  <c r="R112" i="28" s="1"/>
  <c r="L114" i="28"/>
  <c r="N114" i="28"/>
  <c r="M114" i="28"/>
  <c r="AC114" i="28"/>
  <c r="AA114" i="28"/>
  <c r="A114" i="28"/>
  <c r="AB114" i="28"/>
  <c r="S111" i="28"/>
  <c r="R111" i="28"/>
  <c r="K113" i="28"/>
  <c r="I113" i="28"/>
  <c r="G113" i="28"/>
  <c r="H113" i="28"/>
  <c r="O112" i="28"/>
  <c r="Q112" i="28"/>
  <c r="P112" i="28"/>
  <c r="I44" i="62" l="1"/>
  <c r="U112" i="28"/>
  <c r="T112" i="28"/>
  <c r="S112" i="28"/>
  <c r="M115" i="28"/>
  <c r="N115" i="28"/>
  <c r="L115" i="28"/>
  <c r="AC115" i="28"/>
  <c r="A115" i="28"/>
  <c r="AB115" i="28"/>
  <c r="C116" i="28"/>
  <c r="AA115" i="28"/>
  <c r="P113" i="28"/>
  <c r="O113" i="28"/>
  <c r="Q113" i="28"/>
  <c r="J113" i="28"/>
  <c r="G114" i="28"/>
  <c r="H114" i="28"/>
  <c r="K114" i="28"/>
  <c r="I114" i="28"/>
  <c r="F116" i="28" l="1"/>
  <c r="I45" i="62"/>
  <c r="D116" i="28"/>
  <c r="A116" i="28" s="1"/>
  <c r="X116" i="28"/>
  <c r="U113" i="28"/>
  <c r="T113" i="28"/>
  <c r="R113" i="28"/>
  <c r="J114" i="28"/>
  <c r="N116" i="28"/>
  <c r="M116" i="28"/>
  <c r="L116" i="28"/>
  <c r="AB116" i="28"/>
  <c r="AC116" i="28"/>
  <c r="AA116" i="28"/>
  <c r="K115" i="28"/>
  <c r="I115" i="28"/>
  <c r="H115" i="28"/>
  <c r="G115" i="28"/>
  <c r="O114" i="28"/>
  <c r="Q114" i="28"/>
  <c r="P114" i="28"/>
  <c r="S113" i="28"/>
  <c r="J115" i="28" l="1"/>
  <c r="O115" i="28"/>
  <c r="Q115" i="28"/>
  <c r="P115" i="28"/>
  <c r="R114" i="28"/>
  <c r="U114" i="28"/>
  <c r="T114" i="28"/>
  <c r="S114" i="28"/>
  <c r="H116" i="28"/>
  <c r="K116" i="28"/>
  <c r="G116" i="28"/>
  <c r="I116" i="28"/>
  <c r="U115" i="28" l="1"/>
  <c r="R115" i="28"/>
  <c r="S115" i="28"/>
  <c r="T115" i="28"/>
  <c r="J116" i="28"/>
  <c r="P116" i="28"/>
  <c r="O116" i="28"/>
  <c r="Q116" i="28"/>
  <c r="U116" i="28" l="1"/>
  <c r="F44" i="73"/>
  <c r="G48" i="73"/>
  <c r="BC48" i="73"/>
  <c r="BE46" i="73"/>
  <c r="F28" i="73"/>
  <c r="BC47" i="73"/>
  <c r="F22" i="73"/>
  <c r="BD37" i="73"/>
  <c r="AR37" i="73" s="1"/>
  <c r="BD20" i="73"/>
  <c r="AR20" i="73" s="1"/>
  <c r="BE47" i="73"/>
  <c r="AS47" i="73" s="1"/>
  <c r="AZ28" i="73"/>
  <c r="F25" i="73"/>
  <c r="BE37" i="73"/>
  <c r="AS37" i="73" s="1"/>
  <c r="E25" i="73"/>
  <c r="AX25" i="73" s="1"/>
  <c r="BC43" i="73"/>
  <c r="F48" i="73"/>
  <c r="G43" i="73"/>
  <c r="AZ31" i="73"/>
  <c r="F43" i="73"/>
  <c r="AZ37" i="73"/>
  <c r="E43" i="73"/>
  <c r="AX43" i="73" s="1"/>
  <c r="BE28" i="73"/>
  <c r="AS28" i="73" s="1"/>
  <c r="BD31" i="73"/>
  <c r="AR31" i="73" s="1"/>
  <c r="BE43" i="73"/>
  <c r="BD45" i="73"/>
  <c r="AR45" i="73" s="1"/>
  <c r="E42" i="73"/>
  <c r="AX42" i="73" s="1"/>
  <c r="F34" i="73"/>
  <c r="BD46" i="73"/>
  <c r="BC20" i="73"/>
  <c r="E37" i="73"/>
  <c r="AX37" i="73" s="1"/>
  <c r="E44" i="73"/>
  <c r="AX44" i="73" s="1"/>
  <c r="BE20" i="73"/>
  <c r="AS20" i="73" s="1"/>
  <c r="F42" i="73"/>
  <c r="F31" i="73"/>
  <c r="AZ46" i="73"/>
  <c r="AN46" i="73" s="1"/>
  <c r="G46" i="73"/>
  <c r="BE31" i="73"/>
  <c r="AS31" i="73" s="1"/>
  <c r="AZ43" i="73"/>
  <c r="G31" i="73"/>
  <c r="E47" i="73"/>
  <c r="AX47" i="73" s="1"/>
  <c r="BD22" i="73"/>
  <c r="AR22" i="73" s="1"/>
  <c r="AZ34" i="73"/>
  <c r="AN34" i="73" s="1"/>
  <c r="BC37" i="73"/>
  <c r="G22" i="73"/>
  <c r="AZ20" i="73"/>
  <c r="AN20" i="73" s="1"/>
  <c r="G37" i="73"/>
  <c r="AZ42" i="73"/>
  <c r="AN42" i="73" s="1"/>
  <c r="AZ45" i="73"/>
  <c r="F45" i="73"/>
  <c r="BC28" i="73"/>
  <c r="E22" i="73"/>
  <c r="AX22" i="73" s="1"/>
  <c r="F46" i="73"/>
  <c r="BC22" i="73"/>
  <c r="G34" i="73"/>
  <c r="AZ48" i="73"/>
  <c r="AN48" i="73" s="1"/>
  <c r="G28" i="73"/>
  <c r="BC42" i="73"/>
  <c r="AQ42" i="73" s="1"/>
  <c r="BD42" i="73"/>
  <c r="BE34" i="73"/>
  <c r="AS34" i="73" s="1"/>
  <c r="BC25" i="73"/>
  <c r="F37" i="73"/>
  <c r="G25" i="73"/>
  <c r="BE48" i="73"/>
  <c r="AS48" i="73" s="1"/>
  <c r="E20" i="73"/>
  <c r="AX20" i="73" s="1"/>
  <c r="BD25" i="73"/>
  <c r="AR25" i="73" s="1"/>
  <c r="BE42" i="73"/>
  <c r="BE22" i="73"/>
  <c r="AS22" i="73" s="1"/>
  <c r="G42" i="73"/>
  <c r="BD48" i="73"/>
  <c r="BD47" i="73"/>
  <c r="BE45" i="73"/>
  <c r="BC45" i="73"/>
  <c r="AQ45" i="73" s="1"/>
  <c r="G45" i="73"/>
  <c r="G20" i="73"/>
  <c r="AZ44" i="73"/>
  <c r="E48" i="73"/>
  <c r="AX48" i="73" s="1"/>
  <c r="BD28" i="73"/>
  <c r="AR28" i="73" s="1"/>
  <c r="G44" i="73"/>
  <c r="BC46" i="73"/>
  <c r="BD34" i="73"/>
  <c r="AR34" i="73" s="1"/>
  <c r="AZ47" i="73"/>
  <c r="AN47" i="73" s="1"/>
  <c r="E31" i="73"/>
  <c r="AX31" i="73" s="1"/>
  <c r="E34" i="73"/>
  <c r="AX34" i="73" s="1"/>
  <c r="E28" i="73"/>
  <c r="AX28" i="73" s="1"/>
  <c r="BC44" i="73"/>
  <c r="BD43" i="73"/>
  <c r="F20" i="73"/>
  <c r="AZ25" i="73"/>
  <c r="AN25" i="73" s="1"/>
  <c r="E46" i="73"/>
  <c r="AX46" i="73" s="1"/>
  <c r="AZ22" i="73"/>
  <c r="AN22" i="73" s="1"/>
  <c r="BD44" i="73"/>
  <c r="AR44" i="73" s="1"/>
  <c r="E45" i="73"/>
  <c r="AX45" i="73" s="1"/>
  <c r="BC31" i="73"/>
  <c r="BE44" i="73"/>
  <c r="AS44" i="73" s="1"/>
  <c r="F47" i="73"/>
  <c r="BC34" i="73"/>
  <c r="G47" i="73"/>
  <c r="BE25" i="73"/>
  <c r="AS25" i="73" s="1"/>
  <c r="BE16" i="73"/>
  <c r="AS16" i="73" s="1"/>
  <c r="BC16" i="73"/>
  <c r="BD16" i="73"/>
  <c r="AR16" i="73" s="1"/>
  <c r="AZ16" i="73"/>
  <c r="AN16" i="73" s="1"/>
  <c r="G119" i="73"/>
  <c r="BD21" i="73"/>
  <c r="AR21" i="73" s="1"/>
  <c r="BD118" i="73"/>
  <c r="AR118" i="73" s="1"/>
  <c r="BC23" i="73"/>
  <c r="E41" i="73"/>
  <c r="AX41" i="73" s="1"/>
  <c r="G40" i="73"/>
  <c r="F24" i="73"/>
  <c r="G118" i="73"/>
  <c r="G39" i="73"/>
  <c r="BC21" i="73"/>
  <c r="AZ40" i="73"/>
  <c r="AN40" i="73" s="1"/>
  <c r="AZ41" i="73"/>
  <c r="E19" i="73"/>
  <c r="AX19" i="73" s="1"/>
  <c r="BD19" i="73"/>
  <c r="AR19" i="73" s="1"/>
  <c r="F23" i="73"/>
  <c r="AZ119" i="73"/>
  <c r="AN119" i="73" s="1"/>
  <c r="F40" i="73"/>
  <c r="AZ118" i="73"/>
  <c r="AN118" i="73" s="1"/>
  <c r="BD38" i="73"/>
  <c r="AR38" i="73" s="1"/>
  <c r="BE38" i="73"/>
  <c r="AS38" i="73" s="1"/>
  <c r="E39" i="73"/>
  <c r="AX39" i="73" s="1"/>
  <c r="BC40" i="73"/>
  <c r="E40" i="73"/>
  <c r="AX40" i="73" s="1"/>
  <c r="BC39" i="73"/>
  <c r="F41" i="73"/>
  <c r="BD24" i="73"/>
  <c r="AR24" i="73" s="1"/>
  <c r="BD119" i="73"/>
  <c r="AR119" i="73" s="1"/>
  <c r="AZ21" i="73"/>
  <c r="AN21" i="73" s="1"/>
  <c r="BD41" i="73"/>
  <c r="AR41" i="73" s="1"/>
  <c r="E23" i="73"/>
  <c r="AX23" i="73" s="1"/>
  <c r="BE24" i="73"/>
  <c r="AS24" i="73" s="1"/>
  <c r="AZ39" i="73"/>
  <c r="AN39" i="73" s="1"/>
  <c r="E21" i="73"/>
  <c r="AX21" i="73" s="1"/>
  <c r="AZ19" i="73"/>
  <c r="AN19" i="73" s="1"/>
  <c r="BC19" i="73"/>
  <c r="BD40" i="73"/>
  <c r="AR40" i="73" s="1"/>
  <c r="E24" i="73"/>
  <c r="AX24" i="73" s="1"/>
  <c r="F39" i="73"/>
  <c r="E118" i="73"/>
  <c r="AX118" i="73" s="1"/>
  <c r="BE118" i="73"/>
  <c r="AS118" i="73" s="1"/>
  <c r="AZ23" i="73"/>
  <c r="AN23" i="73" s="1"/>
  <c r="BE19" i="73"/>
  <c r="AS19" i="73" s="1"/>
  <c r="BE119" i="73"/>
  <c r="AS119" i="73" s="1"/>
  <c r="BE40" i="73"/>
  <c r="AS40" i="73" s="1"/>
  <c r="F118" i="73"/>
  <c r="BD23" i="73"/>
  <c r="AR23" i="73" s="1"/>
  <c r="BC24" i="73"/>
  <c r="F38" i="73"/>
  <c r="G23" i="73"/>
  <c r="BE21" i="73"/>
  <c r="AS21" i="73" s="1"/>
  <c r="BE23" i="73"/>
  <c r="AS23" i="73" s="1"/>
  <c r="BC32" i="73"/>
  <c r="AZ24" i="73"/>
  <c r="AN24" i="73" s="1"/>
  <c r="G24" i="73"/>
  <c r="F19" i="73"/>
  <c r="BE39" i="73"/>
  <c r="AS39" i="73" s="1"/>
  <c r="BD39" i="73"/>
  <c r="AR39" i="73" s="1"/>
  <c r="BC41" i="73"/>
  <c r="G38" i="73"/>
  <c r="BC119" i="73"/>
  <c r="G19" i="73"/>
  <c r="BC118" i="73"/>
  <c r="F119" i="73"/>
  <c r="E119" i="73"/>
  <c r="AX119" i="73" s="1"/>
  <c r="G41" i="73"/>
  <c r="F32" i="73"/>
  <c r="AZ38" i="73"/>
  <c r="AN38" i="73" s="1"/>
  <c r="BC38" i="73"/>
  <c r="G21" i="73"/>
  <c r="E32" i="73"/>
  <c r="AX32" i="73" s="1"/>
  <c r="BE41" i="73"/>
  <c r="AS41" i="73" s="1"/>
  <c r="G32" i="73"/>
  <c r="F21" i="73"/>
  <c r="E38" i="73"/>
  <c r="AX38" i="73" s="1"/>
  <c r="BE32" i="73"/>
  <c r="AS32" i="73" s="1"/>
  <c r="BC33" i="73"/>
  <c r="G33" i="73"/>
  <c r="BE33" i="73"/>
  <c r="AS33" i="73" s="1"/>
  <c r="F33" i="73"/>
  <c r="E33" i="73"/>
  <c r="AX33" i="73" s="1"/>
  <c r="AZ33" i="73"/>
  <c r="AZ32" i="73"/>
  <c r="BD32" i="73"/>
  <c r="AR32" i="73" s="1"/>
  <c r="BD33" i="73"/>
  <c r="AR33" i="73" s="1"/>
  <c r="BD35" i="73"/>
  <c r="AR35" i="73" s="1"/>
  <c r="F35" i="73"/>
  <c r="F36" i="73"/>
  <c r="G35" i="73"/>
  <c r="AZ35" i="73"/>
  <c r="BE35" i="73"/>
  <c r="AS35" i="73" s="1"/>
  <c r="AZ36" i="73"/>
  <c r="AN36" i="73" s="1"/>
  <c r="BD36" i="73"/>
  <c r="AR36" i="73" s="1"/>
  <c r="E35" i="73"/>
  <c r="AX35" i="73" s="1"/>
  <c r="BE36" i="73"/>
  <c r="AS36" i="73" s="1"/>
  <c r="BC35" i="73"/>
  <c r="BC36" i="73"/>
  <c r="G36" i="73"/>
  <c r="E36" i="73"/>
  <c r="AX36" i="73" s="1"/>
  <c r="BD17" i="73"/>
  <c r="AR17" i="73" s="1"/>
  <c r="F17" i="73"/>
  <c r="F16" i="73"/>
  <c r="BD27" i="73"/>
  <c r="AZ26" i="73"/>
  <c r="BE17" i="73"/>
  <c r="AS17" i="73" s="1"/>
  <c r="E18" i="73"/>
  <c r="AX18" i="73" s="1"/>
  <c r="G16" i="73"/>
  <c r="E16" i="73"/>
  <c r="AX16" i="73" s="1"/>
  <c r="AZ29" i="73"/>
  <c r="AZ18" i="73"/>
  <c r="AN18" i="73" s="1"/>
  <c r="AZ30" i="73"/>
  <c r="BC17" i="73"/>
  <c r="R116" i="28"/>
  <c r="S116" i="28"/>
  <c r="T116" i="28"/>
  <c r="E40" i="62"/>
  <c r="E39" i="62"/>
  <c r="BF34" i="73" l="1"/>
  <c r="Y34" i="73" s="1"/>
  <c r="BF45" i="73"/>
  <c r="Y45" i="73" s="1"/>
  <c r="AY34" i="73"/>
  <c r="BB34" i="73" s="1"/>
  <c r="X34" i="73" s="1"/>
  <c r="AL34" i="73"/>
  <c r="BF46" i="73"/>
  <c r="Y46" i="73" s="1"/>
  <c r="AQ46" i="73"/>
  <c r="AL20" i="73"/>
  <c r="AY20" i="73"/>
  <c r="BB20" i="73" s="1"/>
  <c r="X20" i="73" s="1"/>
  <c r="BF42" i="73"/>
  <c r="Y42" i="73" s="1"/>
  <c r="AR42" i="73"/>
  <c r="BF28" i="73"/>
  <c r="Y28" i="73" s="1"/>
  <c r="AQ28" i="73"/>
  <c r="AT28" i="73" s="1"/>
  <c r="BF37" i="73"/>
  <c r="Y37" i="73" s="1"/>
  <c r="AQ37" i="73"/>
  <c r="AT37" i="73" s="1"/>
  <c r="AL37" i="73"/>
  <c r="AY37" i="73"/>
  <c r="BB37" i="73" s="1"/>
  <c r="X37" i="73" s="1"/>
  <c r="BF48" i="73"/>
  <c r="Y48" i="73" s="1"/>
  <c r="AQ48" i="73"/>
  <c r="BF31" i="73"/>
  <c r="Y31" i="73" s="1"/>
  <c r="BF43" i="73"/>
  <c r="Y43" i="73" s="1"/>
  <c r="AR43" i="73"/>
  <c r="AL31" i="73"/>
  <c r="AY31" i="73"/>
  <c r="BB31" i="73" s="1"/>
  <c r="X31" i="73" s="1"/>
  <c r="BF25" i="73"/>
  <c r="Y25" i="73" s="1"/>
  <c r="AQ25" i="73"/>
  <c r="AT25" i="73" s="1"/>
  <c r="BF22" i="73"/>
  <c r="Y22" i="73" s="1"/>
  <c r="AQ22" i="73"/>
  <c r="AT22" i="73" s="1"/>
  <c r="AY47" i="73"/>
  <c r="BB47" i="73" s="1"/>
  <c r="X47" i="73" s="1"/>
  <c r="AL47" i="73"/>
  <c r="BF20" i="73"/>
  <c r="Y20" i="73" s="1"/>
  <c r="AQ20" i="73"/>
  <c r="AT20" i="73" s="1"/>
  <c r="AY42" i="73"/>
  <c r="BB42" i="73" s="1"/>
  <c r="X42" i="73" s="1"/>
  <c r="AL42" i="73"/>
  <c r="BF47" i="73"/>
  <c r="Y47" i="73" s="1"/>
  <c r="AQ47" i="73"/>
  <c r="BF16" i="73"/>
  <c r="Y16" i="73" s="1"/>
  <c r="AQ16" i="73"/>
  <c r="AT16" i="73" s="1"/>
  <c r="AY45" i="73"/>
  <c r="BB45" i="73" s="1"/>
  <c r="X45" i="73" s="1"/>
  <c r="AL45" i="73"/>
  <c r="AL46" i="73"/>
  <c r="AY46" i="73"/>
  <c r="BB46" i="73" s="1"/>
  <c r="X46" i="73" s="1"/>
  <c r="BF44" i="73"/>
  <c r="Y44" i="73" s="1"/>
  <c r="AQ44" i="73"/>
  <c r="AT44" i="73" s="1"/>
  <c r="AL25" i="73"/>
  <c r="AY25" i="73"/>
  <c r="BB25" i="73" s="1"/>
  <c r="X25" i="73" s="1"/>
  <c r="AL28" i="73"/>
  <c r="AY28" i="73"/>
  <c r="BB28" i="73" s="1"/>
  <c r="X28" i="73" s="1"/>
  <c r="AY48" i="73"/>
  <c r="BB48" i="73" s="1"/>
  <c r="X48" i="73" s="1"/>
  <c r="AL48" i="73"/>
  <c r="AL22" i="73"/>
  <c r="AY22" i="73"/>
  <c r="BB22" i="73" s="1"/>
  <c r="X22" i="73" s="1"/>
  <c r="AL44" i="73"/>
  <c r="AY44" i="73"/>
  <c r="BB44" i="73" s="1"/>
  <c r="X44" i="73" s="1"/>
  <c r="AL43" i="73"/>
  <c r="AY43" i="73"/>
  <c r="BB43" i="73" s="1"/>
  <c r="X43" i="73" s="1"/>
  <c r="AY36" i="73"/>
  <c r="BB36" i="73" s="1"/>
  <c r="X36" i="73" s="1"/>
  <c r="AL36" i="73"/>
  <c r="AY21" i="73"/>
  <c r="BB21" i="73" s="1"/>
  <c r="X21" i="73" s="1"/>
  <c r="AL21" i="73"/>
  <c r="AY18" i="73"/>
  <c r="BB18" i="73" s="1"/>
  <c r="X18" i="73" s="1"/>
  <c r="AL18" i="73"/>
  <c r="AY35" i="73"/>
  <c r="BB35" i="73" s="1"/>
  <c r="X35" i="73" s="1"/>
  <c r="AL35" i="73"/>
  <c r="BF33" i="73"/>
  <c r="Y33" i="73" s="1"/>
  <c r="AQ33" i="73"/>
  <c r="AT33" i="73" s="1"/>
  <c r="BF38" i="73"/>
  <c r="Y38" i="73" s="1"/>
  <c r="AQ38" i="73"/>
  <c r="AT38" i="73" s="1"/>
  <c r="AY119" i="73"/>
  <c r="BB119" i="73" s="1"/>
  <c r="X119" i="73" s="1"/>
  <c r="AL119" i="73"/>
  <c r="BF119" i="73"/>
  <c r="Y119" i="73" s="1"/>
  <c r="AQ119" i="73"/>
  <c r="AT119" i="73" s="1"/>
  <c r="BF32" i="73"/>
  <c r="Y32" i="73" s="1"/>
  <c r="AQ32" i="73"/>
  <c r="AT32" i="73" s="1"/>
  <c r="BF39" i="73"/>
  <c r="Y39" i="73" s="1"/>
  <c r="AQ39" i="73"/>
  <c r="AT39" i="73" s="1"/>
  <c r="AY41" i="73"/>
  <c r="BB41" i="73" s="1"/>
  <c r="X41" i="73" s="1"/>
  <c r="AL41" i="73"/>
  <c r="AR27" i="73"/>
  <c r="AT27" i="73" s="1"/>
  <c r="BF27" i="73"/>
  <c r="Y27" i="73" s="1"/>
  <c r="AY39" i="73"/>
  <c r="BB39" i="73" s="1"/>
  <c r="X39" i="73" s="1"/>
  <c r="AL39" i="73"/>
  <c r="AY19" i="73"/>
  <c r="BB19" i="73" s="1"/>
  <c r="X19" i="73" s="1"/>
  <c r="AL19" i="73"/>
  <c r="BB29" i="73"/>
  <c r="X29" i="73" s="1"/>
  <c r="BF36" i="73"/>
  <c r="Y36" i="73" s="1"/>
  <c r="AQ36" i="73"/>
  <c r="AT36" i="73" s="1"/>
  <c r="AY33" i="73"/>
  <c r="BB33" i="73" s="1"/>
  <c r="X33" i="73" s="1"/>
  <c r="AL33" i="73"/>
  <c r="BF24" i="73"/>
  <c r="Y24" i="73" s="1"/>
  <c r="AQ24" i="73"/>
  <c r="AT24" i="73" s="1"/>
  <c r="AY118" i="73"/>
  <c r="BB118" i="73" s="1"/>
  <c r="X118" i="73" s="1"/>
  <c r="AL118" i="73"/>
  <c r="BF19" i="73"/>
  <c r="Y19" i="73" s="1"/>
  <c r="AQ19" i="73"/>
  <c r="AT19" i="73" s="1"/>
  <c r="AY40" i="73"/>
  <c r="BB40" i="73" s="1"/>
  <c r="X40" i="73" s="1"/>
  <c r="AL40" i="73"/>
  <c r="BF23" i="73"/>
  <c r="Y23" i="73" s="1"/>
  <c r="AQ23" i="73"/>
  <c r="AT23" i="73" s="1"/>
  <c r="BB30" i="73"/>
  <c r="X30" i="73" s="1"/>
  <c r="AY24" i="73"/>
  <c r="BB24" i="73" s="1"/>
  <c r="X24" i="73" s="1"/>
  <c r="AL24" i="73"/>
  <c r="BF17" i="73"/>
  <c r="Y17" i="73" s="1"/>
  <c r="AQ17" i="73"/>
  <c r="AT17" i="73" s="1"/>
  <c r="AU17" i="73" s="1"/>
  <c r="AY16" i="73"/>
  <c r="BB16" i="73" s="1"/>
  <c r="X16" i="73" s="1"/>
  <c r="AL16" i="73"/>
  <c r="AN26" i="73"/>
  <c r="AP26" i="73" s="1"/>
  <c r="BB26" i="73"/>
  <c r="X26" i="73" s="1"/>
  <c r="BF35" i="73"/>
  <c r="Y35" i="73" s="1"/>
  <c r="AQ35" i="73"/>
  <c r="AT35" i="73" s="1"/>
  <c r="AY38" i="73"/>
  <c r="BB38" i="73" s="1"/>
  <c r="X38" i="73" s="1"/>
  <c r="AL38" i="73"/>
  <c r="AY32" i="73"/>
  <c r="BB32" i="73" s="1"/>
  <c r="X32" i="73" s="1"/>
  <c r="AL32" i="73"/>
  <c r="BF118" i="73"/>
  <c r="Y118" i="73" s="1"/>
  <c r="AQ118" i="73"/>
  <c r="AT118" i="73" s="1"/>
  <c r="BF41" i="73"/>
  <c r="Y41" i="73" s="1"/>
  <c r="AQ41" i="73"/>
  <c r="AT41" i="73" s="1"/>
  <c r="AY23" i="73"/>
  <c r="BB23" i="73" s="1"/>
  <c r="X23" i="73" s="1"/>
  <c r="AL23" i="73"/>
  <c r="BF40" i="73"/>
  <c r="Y40" i="73" s="1"/>
  <c r="AQ40" i="73"/>
  <c r="AT40" i="73" s="1"/>
  <c r="BF21" i="73"/>
  <c r="Y21" i="73" s="1"/>
  <c r="AQ21" i="73"/>
  <c r="AT21" i="73" s="1"/>
  <c r="E41" i="62"/>
  <c r="AM118" i="73" l="1"/>
  <c r="T118" i="73"/>
  <c r="AM119" i="73"/>
  <c r="T119" i="73"/>
  <c r="AH17" i="73"/>
  <c r="AG17" i="73" s="1"/>
  <c r="Q17" i="73"/>
  <c r="S17" i="73"/>
  <c r="V17" i="73" s="1"/>
  <c r="R17" i="73"/>
  <c r="P17" i="73"/>
  <c r="AM32" i="73"/>
  <c r="U32" i="73" s="1"/>
  <c r="T32" i="73"/>
  <c r="AM16" i="73"/>
  <c r="T16" i="73"/>
  <c r="AM24" i="73"/>
  <c r="T24" i="73"/>
  <c r="AM39" i="73"/>
  <c r="U39" i="73" s="1"/>
  <c r="T39" i="73"/>
  <c r="AM44" i="73"/>
  <c r="U44" i="73" s="1"/>
  <c r="T44" i="73"/>
  <c r="AM25" i="73"/>
  <c r="T25" i="73"/>
  <c r="AM46" i="73"/>
  <c r="U46" i="73" s="1"/>
  <c r="T46" i="73"/>
  <c r="AM34" i="73"/>
  <c r="T34" i="73"/>
  <c r="AM35" i="73"/>
  <c r="U35" i="73" s="1"/>
  <c r="T35" i="73"/>
  <c r="AM21" i="73"/>
  <c r="T21" i="73"/>
  <c r="AM45" i="73"/>
  <c r="U45" i="73" s="1"/>
  <c r="T45" i="73"/>
  <c r="AM37" i="73"/>
  <c r="U37" i="73" s="1"/>
  <c r="T37" i="73"/>
  <c r="AM20" i="73"/>
  <c r="T20" i="73"/>
  <c r="AM23" i="73"/>
  <c r="T23" i="73"/>
  <c r="AM38" i="73"/>
  <c r="T38" i="73"/>
  <c r="AM40" i="73"/>
  <c r="T40" i="73"/>
  <c r="AM19" i="73"/>
  <c r="T19" i="73"/>
  <c r="AM43" i="73"/>
  <c r="U43" i="73" s="1"/>
  <c r="T43" i="73"/>
  <c r="AM22" i="73"/>
  <c r="T22" i="73"/>
  <c r="AM28" i="73"/>
  <c r="U28" i="73" s="1"/>
  <c r="T28" i="73"/>
  <c r="AM31" i="73"/>
  <c r="U31" i="73" s="1"/>
  <c r="T31" i="73"/>
  <c r="AM33" i="73"/>
  <c r="U33" i="73" s="1"/>
  <c r="T33" i="73"/>
  <c r="AM41" i="73"/>
  <c r="U41" i="73" s="1"/>
  <c r="T41" i="73"/>
  <c r="AM18" i="73"/>
  <c r="T18" i="73"/>
  <c r="AM36" i="73"/>
  <c r="T36" i="73"/>
  <c r="AM48" i="73"/>
  <c r="T48" i="73"/>
  <c r="AM42" i="73"/>
  <c r="T42" i="73"/>
  <c r="AM47" i="73"/>
  <c r="U47" i="73" s="1"/>
  <c r="T47" i="73"/>
  <c r="BG43" i="73"/>
  <c r="Z43" i="73" s="1"/>
  <c r="BG22" i="73"/>
  <c r="Z22" i="73" s="1"/>
  <c r="AE22" i="73" s="1"/>
  <c r="AD22" i="73" s="1"/>
  <c r="BG28" i="73"/>
  <c r="Z28" i="73" s="1"/>
  <c r="BG25" i="73"/>
  <c r="Z25" i="73" s="1"/>
  <c r="AE25" i="73" s="1"/>
  <c r="AD25" i="73" s="1"/>
  <c r="BG46" i="73"/>
  <c r="Z46" i="73" s="1"/>
  <c r="BG37" i="73"/>
  <c r="Z37" i="73" s="1"/>
  <c r="BG44" i="73"/>
  <c r="Z44" i="73" s="1"/>
  <c r="BG20" i="73"/>
  <c r="Z20" i="73" s="1"/>
  <c r="AE20" i="73" s="1"/>
  <c r="AD20" i="73" s="1"/>
  <c r="BG48" i="73"/>
  <c r="Z48" i="73" s="1"/>
  <c r="BG45" i="73"/>
  <c r="Z45" i="73" s="1"/>
  <c r="BG42" i="73"/>
  <c r="Z42" i="73" s="1"/>
  <c r="BG47" i="73"/>
  <c r="Z47" i="73" s="1"/>
  <c r="BG31" i="73"/>
  <c r="Z31" i="73" s="1"/>
  <c r="BG34" i="73"/>
  <c r="Z34" i="73" s="1"/>
  <c r="BG40" i="73"/>
  <c r="Z40" i="73" s="1"/>
  <c r="AE40" i="73" s="1"/>
  <c r="AD40" i="73" s="1"/>
  <c r="BG118" i="73"/>
  <c r="Z118" i="73" s="1"/>
  <c r="AE118" i="73" s="1"/>
  <c r="AD118" i="73" s="1"/>
  <c r="BG27" i="73"/>
  <c r="Z27" i="73" s="1"/>
  <c r="BG35" i="73"/>
  <c r="Z35" i="73" s="1"/>
  <c r="BG21" i="73"/>
  <c r="Z21" i="73" s="1"/>
  <c r="AE21" i="73" s="1"/>
  <c r="AD21" i="73" s="1"/>
  <c r="BG39" i="73"/>
  <c r="Z39" i="73" s="1"/>
  <c r="BG32" i="73"/>
  <c r="Z32" i="73" s="1"/>
  <c r="BG16" i="73"/>
  <c r="Z16" i="73" s="1"/>
  <c r="AE16" i="73" s="1"/>
  <c r="AD16" i="73" s="1"/>
  <c r="BG24" i="73"/>
  <c r="Z24" i="73" s="1"/>
  <c r="AE24" i="73" s="1"/>
  <c r="AD24" i="73" s="1"/>
  <c r="BG30" i="73"/>
  <c r="Z30" i="73" s="1"/>
  <c r="BG33" i="73"/>
  <c r="Z33" i="73" s="1"/>
  <c r="BG19" i="73"/>
  <c r="Z19" i="73" s="1"/>
  <c r="AE19" i="73" s="1"/>
  <c r="AD19" i="73" s="1"/>
  <c r="BG23" i="73"/>
  <c r="Z23" i="73" s="1"/>
  <c r="AE23" i="73" s="1"/>
  <c r="AD23" i="73" s="1"/>
  <c r="BG38" i="73"/>
  <c r="Z38" i="73" s="1"/>
  <c r="AE38" i="73" s="1"/>
  <c r="AD38" i="73" s="1"/>
  <c r="BG17" i="73"/>
  <c r="Z17" i="73" s="1"/>
  <c r="AE17" i="73" s="1"/>
  <c r="AD17" i="73" s="1"/>
  <c r="BG26" i="73"/>
  <c r="Z26" i="73" s="1"/>
  <c r="BG29" i="73"/>
  <c r="Z29" i="73" s="1"/>
  <c r="BG41" i="73"/>
  <c r="Z41" i="73" s="1"/>
  <c r="BG119" i="73"/>
  <c r="Z119" i="73" s="1"/>
  <c r="AE119" i="73" s="1"/>
  <c r="AD119" i="73" s="1"/>
  <c r="BG18" i="73"/>
  <c r="Z18" i="73" s="1"/>
  <c r="AE18" i="73" s="1"/>
  <c r="AD18" i="73" s="1"/>
  <c r="BG36" i="73"/>
  <c r="Z36" i="73" s="1"/>
  <c r="AE36" i="73" s="1"/>
  <c r="AD36" i="73" s="1"/>
  <c r="B192" i="30"/>
  <c r="AP119" i="73" l="1"/>
  <c r="AU119" i="73" s="1"/>
  <c r="U119" i="73"/>
  <c r="AP118" i="73"/>
  <c r="AU118" i="73" s="1"/>
  <c r="U118" i="73"/>
  <c r="AP48" i="73"/>
  <c r="U48" i="73"/>
  <c r="AP18" i="73"/>
  <c r="AU18" i="73" s="1"/>
  <c r="U18" i="73"/>
  <c r="AP40" i="73"/>
  <c r="AU40" i="73" s="1"/>
  <c r="U40" i="73"/>
  <c r="AP23" i="73"/>
  <c r="AU23" i="73" s="1"/>
  <c r="U23" i="73"/>
  <c r="AP21" i="73"/>
  <c r="AU21" i="73" s="1"/>
  <c r="U21" i="73"/>
  <c r="AP34" i="73"/>
  <c r="U34" i="73"/>
  <c r="AP25" i="73"/>
  <c r="AU25" i="73" s="1"/>
  <c r="U25" i="73"/>
  <c r="AP16" i="73"/>
  <c r="AU16" i="73" s="1"/>
  <c r="U16" i="73"/>
  <c r="AP42" i="73"/>
  <c r="U42" i="73"/>
  <c r="AP36" i="73"/>
  <c r="AU36" i="73" s="1"/>
  <c r="U36" i="73"/>
  <c r="AP22" i="73"/>
  <c r="AU22" i="73" s="1"/>
  <c r="U22" i="73"/>
  <c r="AP19" i="73"/>
  <c r="AU19" i="73" s="1"/>
  <c r="U19" i="73"/>
  <c r="AP38" i="73"/>
  <c r="AU38" i="73" s="1"/>
  <c r="U38" i="73"/>
  <c r="AP20" i="73"/>
  <c r="AU20" i="73" s="1"/>
  <c r="U20" i="73"/>
  <c r="AP24" i="73"/>
  <c r="AU24" i="73" s="1"/>
  <c r="U24" i="73"/>
  <c r="B194" i="30"/>
  <c r="AH118" i="73" l="1"/>
  <c r="AG118" i="73" s="1"/>
  <c r="Q118" i="73"/>
  <c r="P118" i="73"/>
  <c r="R118" i="73"/>
  <c r="S118" i="73"/>
  <c r="V118" i="73" s="1"/>
  <c r="AH119" i="73"/>
  <c r="AG119" i="73" s="1"/>
  <c r="S119" i="73"/>
  <c r="V119" i="73" s="1"/>
  <c r="P119" i="73"/>
  <c r="Q119" i="73"/>
  <c r="R119" i="73"/>
  <c r="AH24" i="73"/>
  <c r="AG24" i="73" s="1"/>
  <c r="Q24" i="73"/>
  <c r="AH38" i="73"/>
  <c r="AG38" i="73" s="1"/>
  <c r="Q38" i="73"/>
  <c r="AH22" i="73"/>
  <c r="AG22" i="73" s="1"/>
  <c r="Q22" i="73"/>
  <c r="AH25" i="73"/>
  <c r="AG25" i="73" s="1"/>
  <c r="Q25" i="73"/>
  <c r="AH21" i="73"/>
  <c r="AG21" i="73" s="1"/>
  <c r="Q21" i="73"/>
  <c r="AH40" i="73"/>
  <c r="AG40" i="73" s="1"/>
  <c r="Q40" i="73"/>
  <c r="AH20" i="73"/>
  <c r="Q20" i="73"/>
  <c r="AH19" i="73"/>
  <c r="AG19" i="73" s="1"/>
  <c r="Q19" i="73"/>
  <c r="AH36" i="73"/>
  <c r="AG36" i="73" s="1"/>
  <c r="Q36" i="73"/>
  <c r="AH16" i="73"/>
  <c r="AG16" i="73" s="1"/>
  <c r="Q16" i="73"/>
  <c r="AH23" i="73"/>
  <c r="AG23" i="73" s="1"/>
  <c r="Q23" i="73"/>
  <c r="AH18" i="73"/>
  <c r="AG18" i="73" s="1"/>
  <c r="Q18" i="73"/>
  <c r="AG20" i="73"/>
  <c r="P20" i="73"/>
  <c r="S20" i="73"/>
  <c r="V20" i="73" s="1"/>
  <c r="R20" i="73"/>
  <c r="S19" i="73"/>
  <c r="V19" i="73" s="1"/>
  <c r="R19" i="73"/>
  <c r="P19" i="73"/>
  <c r="P36" i="73"/>
  <c r="S36" i="73"/>
  <c r="V36" i="73" s="1"/>
  <c r="R36" i="73"/>
  <c r="P16" i="73"/>
  <c r="S16" i="73"/>
  <c r="V16" i="73" s="1"/>
  <c r="R16" i="73"/>
  <c r="P23" i="73"/>
  <c r="S23" i="73"/>
  <c r="V23" i="73" s="1"/>
  <c r="R23" i="73"/>
  <c r="R18" i="73"/>
  <c r="S18" i="73"/>
  <c r="V18" i="73" s="1"/>
  <c r="P18" i="73"/>
  <c r="P24" i="73"/>
  <c r="S24" i="73"/>
  <c r="V24" i="73" s="1"/>
  <c r="R24" i="73"/>
  <c r="R38" i="73"/>
  <c r="S38" i="73"/>
  <c r="V38" i="73" s="1"/>
  <c r="P38" i="73"/>
  <c r="R22" i="73"/>
  <c r="P22" i="73"/>
  <c r="S22" i="73"/>
  <c r="V22" i="73" s="1"/>
  <c r="S25" i="73"/>
  <c r="V25" i="73" s="1"/>
  <c r="P25" i="73"/>
  <c r="R25" i="73"/>
  <c r="S21" i="73"/>
  <c r="V21" i="73" s="1"/>
  <c r="P21" i="73"/>
  <c r="R21" i="73"/>
  <c r="P40" i="73"/>
  <c r="S40" i="73"/>
  <c r="V40" i="73" s="1"/>
  <c r="R40" i="73"/>
  <c r="B201" i="30"/>
  <c r="B215" i="30" l="1"/>
  <c r="E46" i="62" s="1"/>
  <c r="B230" i="30" l="1"/>
  <c r="B232" i="30" s="1"/>
  <c r="E44" i="62" s="1"/>
  <c r="E43" i="62"/>
  <c r="B264" i="30" l="1"/>
  <c r="E45" i="62" l="1"/>
  <c r="B278" i="30"/>
  <c r="E48" i="62" s="1"/>
  <c r="B280" i="30" l="1"/>
  <c r="B290" i="30" s="1"/>
  <c r="B322" i="30" l="1"/>
  <c r="B332" i="30" s="1"/>
  <c r="E49" i="62"/>
  <c r="E50" i="62"/>
  <c r="B341" i="30" l="1"/>
  <c r="L4" i="62" l="1"/>
  <c r="B343" i="30" l="1"/>
  <c r="L5" i="62" s="1"/>
  <c r="B373" i="30" l="1"/>
  <c r="L6" i="62" s="1"/>
  <c r="B381" i="30" l="1"/>
  <c r="B383" i="30" s="1"/>
  <c r="B395" i="30" s="1"/>
  <c r="B415" i="30" s="1"/>
  <c r="B438" i="30" s="1"/>
  <c r="B456" i="30" s="1"/>
  <c r="B466" i="30" s="1"/>
  <c r="B468" i="30" s="1"/>
  <c r="B485" i="30" s="1"/>
  <c r="B501" i="30" s="1"/>
  <c r="B503" i="30" s="1"/>
  <c r="B509" i="30" s="1"/>
  <c r="B516" i="30" s="1"/>
  <c r="B533" i="30" s="1"/>
  <c r="B541" i="30" s="1"/>
  <c r="B543" i="30" s="1"/>
  <c r="B566" i="30" s="1"/>
  <c r="B568" i="30" s="1"/>
  <c r="B596" i="30" l="1"/>
  <c r="L10" i="62"/>
  <c r="L22" i="62"/>
  <c r="L14" i="62"/>
  <c r="L23" i="62"/>
  <c r="L31" i="62"/>
  <c r="L21" i="62"/>
  <c r="L32" i="62"/>
  <c r="L16" i="62"/>
  <c r="L26" i="62"/>
  <c r="L27" i="62"/>
  <c r="L25" i="62"/>
  <c r="L12" i="62"/>
  <c r="L15" i="62"/>
  <c r="L11" i="62"/>
  <c r="B605" i="30" l="1"/>
  <c r="B611" i="30" l="1"/>
  <c r="B619" i="30" l="1"/>
  <c r="B627" i="30" l="1"/>
  <c r="L35" i="62" s="1"/>
  <c r="E164" i="36"/>
  <c r="H65" i="73" l="1"/>
  <c r="B629" i="30"/>
  <c r="A164" i="36"/>
  <c r="B653" i="30" l="1"/>
  <c r="L36" i="62"/>
  <c r="B661" i="30" l="1"/>
  <c r="L37" i="62"/>
  <c r="L7" i="62" l="1"/>
  <c r="L8" i="62"/>
  <c r="L29" i="62"/>
  <c r="L43" i="62"/>
  <c r="L39" i="62"/>
  <c r="L40" i="62"/>
  <c r="L19" i="62"/>
  <c r="L45" i="62"/>
  <c r="L18" i="62"/>
  <c r="L42" i="62"/>
  <c r="L44" i="62"/>
  <c r="L17" i="62"/>
  <c r="L28" i="62"/>
  <c r="L33" i="62"/>
  <c r="L38" i="62"/>
  <c r="B9" i="39"/>
  <c r="I50" i="62" s="1"/>
  <c r="B258" i="39" l="1"/>
  <c r="L50" i="62" l="1"/>
  <c r="I51" i="62"/>
  <c r="L51" i="62" s="1"/>
  <c r="BN26" i="73" l="1"/>
  <c r="BK115" i="73"/>
  <c r="AO115" i="73" s="1"/>
  <c r="BK37" i="73"/>
  <c r="AO37" i="73" s="1"/>
  <c r="BJ112" i="73"/>
  <c r="BK112" i="73"/>
  <c r="AO112" i="73" s="1"/>
  <c r="BM114" i="73"/>
  <c r="J38" i="73"/>
  <c r="BK43" i="73"/>
  <c r="AO43" i="73" s="1"/>
  <c r="J42" i="73"/>
  <c r="BJ35" i="73"/>
  <c r="BK44" i="73"/>
  <c r="AO44" i="73" s="1"/>
  <c r="BJ27" i="73"/>
  <c r="BJ30" i="73"/>
  <c r="AN30" i="73" s="1"/>
  <c r="BJ113" i="73"/>
  <c r="BK47" i="73"/>
  <c r="BO45" i="73"/>
  <c r="J28" i="73"/>
  <c r="BO42" i="73"/>
  <c r="BJ115" i="73"/>
  <c r="BK28" i="73"/>
  <c r="AO28" i="73" s="1"/>
  <c r="BJ41" i="73"/>
  <c r="BJ44" i="73"/>
  <c r="BO46" i="73"/>
  <c r="AS46" i="73" s="1"/>
  <c r="BM43" i="73"/>
  <c r="J115" i="73"/>
  <c r="BJ33" i="73"/>
  <c r="BN46" i="73"/>
  <c r="BO43" i="73"/>
  <c r="AS43" i="73" s="1"/>
  <c r="BK30" i="73"/>
  <c r="BJ28" i="73"/>
  <c r="BK29" i="73"/>
  <c r="AO29" i="73" s="1"/>
  <c r="BJ37" i="73"/>
  <c r="BK39" i="73"/>
  <c r="BJ114" i="73"/>
  <c r="J24" i="73"/>
  <c r="BK46" i="73"/>
  <c r="J32" i="73"/>
  <c r="BM34" i="73"/>
  <c r="BN47" i="73"/>
  <c r="J37" i="73"/>
  <c r="J30" i="73"/>
  <c r="BM31" i="73"/>
  <c r="BN48" i="73"/>
  <c r="BJ32" i="73"/>
  <c r="BK110" i="73"/>
  <c r="BJ43" i="73"/>
  <c r="J110" i="73"/>
  <c r="BJ45" i="73"/>
  <c r="BJ29" i="73"/>
  <c r="BJ31" i="73"/>
  <c r="J45" i="73"/>
  <c r="J43" i="73"/>
  <c r="AN31" i="73" l="1"/>
  <c r="AP31" i="73" s="1"/>
  <c r="BL31" i="73"/>
  <c r="AA31" i="73" s="1"/>
  <c r="BL30" i="73"/>
  <c r="AA30" i="73" s="1"/>
  <c r="AO30" i="73"/>
  <c r="AP30" i="73" s="1"/>
  <c r="AU30" i="73" s="1"/>
  <c r="BL35" i="73"/>
  <c r="AA35" i="73" s="1"/>
  <c r="AN35" i="73"/>
  <c r="AP35" i="73" s="1"/>
  <c r="AU35" i="73" s="1"/>
  <c r="BL29" i="73"/>
  <c r="AA29" i="73" s="1"/>
  <c r="AN29" i="73"/>
  <c r="AP29" i="73" s="1"/>
  <c r="AU29" i="73" s="1"/>
  <c r="BP31" i="73"/>
  <c r="AB31" i="73" s="1"/>
  <c r="AQ31" i="73"/>
  <c r="AT31" i="73" s="1"/>
  <c r="AO46" i="73"/>
  <c r="AP46" i="73" s="1"/>
  <c r="BL46" i="73"/>
  <c r="AA46" i="73" s="1"/>
  <c r="BL44" i="73"/>
  <c r="AA44" i="73" s="1"/>
  <c r="AN44" i="73"/>
  <c r="AP44" i="73" s="1"/>
  <c r="AU44" i="73" s="1"/>
  <c r="AS45" i="73"/>
  <c r="AT45" i="73" s="1"/>
  <c r="BP45" i="73"/>
  <c r="AB45" i="73" s="1"/>
  <c r="BL45" i="73"/>
  <c r="AA45" i="73" s="1"/>
  <c r="AN45" i="73"/>
  <c r="AP45" i="73" s="1"/>
  <c r="BL32" i="73"/>
  <c r="AA32" i="73" s="1"/>
  <c r="AN32" i="73"/>
  <c r="AP32" i="73" s="1"/>
  <c r="AU32" i="73" s="1"/>
  <c r="BL41" i="73"/>
  <c r="AA41" i="73" s="1"/>
  <c r="AN41" i="73"/>
  <c r="AP41" i="73" s="1"/>
  <c r="AU41" i="73" s="1"/>
  <c r="AO47" i="73"/>
  <c r="AP47" i="73" s="1"/>
  <c r="BL47" i="73"/>
  <c r="AA47" i="73" s="1"/>
  <c r="BL27" i="73"/>
  <c r="AA27" i="73" s="1"/>
  <c r="AN27" i="73"/>
  <c r="AP27" i="73" s="1"/>
  <c r="AU27" i="73" s="1"/>
  <c r="BL43" i="73"/>
  <c r="AA43" i="73" s="1"/>
  <c r="AN43" i="73"/>
  <c r="AP43" i="73" s="1"/>
  <c r="AO39" i="73"/>
  <c r="AP39" i="73" s="1"/>
  <c r="AU39" i="73" s="1"/>
  <c r="BL39" i="73"/>
  <c r="AA39" i="73" s="1"/>
  <c r="BL33" i="73"/>
  <c r="AA33" i="73" s="1"/>
  <c r="AN33" i="73"/>
  <c r="AP33" i="73" s="1"/>
  <c r="AU33" i="73" s="1"/>
  <c r="AN115" i="73"/>
  <c r="AP115" i="73" s="1"/>
  <c r="AU115" i="73" s="1"/>
  <c r="BL115" i="73"/>
  <c r="AA115" i="73" s="1"/>
  <c r="AO110" i="73"/>
  <c r="AP110" i="73" s="1"/>
  <c r="AU110" i="73" s="1"/>
  <c r="BL110" i="73"/>
  <c r="AA110" i="73" s="1"/>
  <c r="AR47" i="73"/>
  <c r="AT47" i="73" s="1"/>
  <c r="BP47" i="73"/>
  <c r="AB47" i="73" s="1"/>
  <c r="AN37" i="73"/>
  <c r="AP37" i="73" s="1"/>
  <c r="AU37" i="73" s="1"/>
  <c r="BL37" i="73"/>
  <c r="AA37" i="73" s="1"/>
  <c r="AS42" i="73"/>
  <c r="AT42" i="73" s="1"/>
  <c r="AU42" i="73" s="1"/>
  <c r="BP42" i="73"/>
  <c r="AB42" i="73" s="1"/>
  <c r="BP114" i="73"/>
  <c r="AB114" i="73" s="1"/>
  <c r="AQ114" i="73"/>
  <c r="AT114" i="73" s="1"/>
  <c r="AR48" i="73"/>
  <c r="AT48" i="73" s="1"/>
  <c r="AU48" i="73" s="1"/>
  <c r="BP48" i="73"/>
  <c r="AB48" i="73" s="1"/>
  <c r="AQ34" i="73"/>
  <c r="AT34" i="73" s="1"/>
  <c r="AU34" i="73" s="1"/>
  <c r="BP34" i="73"/>
  <c r="AB34" i="73" s="1"/>
  <c r="BL114" i="73"/>
  <c r="AA114" i="73" s="1"/>
  <c r="AN114" i="73"/>
  <c r="AP114" i="73" s="1"/>
  <c r="AN28" i="73"/>
  <c r="AP28" i="73" s="1"/>
  <c r="AU28" i="73" s="1"/>
  <c r="BL28" i="73"/>
  <c r="AA28" i="73" s="1"/>
  <c r="AR46" i="73"/>
  <c r="AT46" i="73" s="1"/>
  <c r="BP46" i="73"/>
  <c r="AB46" i="73" s="1"/>
  <c r="AQ43" i="73"/>
  <c r="AT43" i="73" s="1"/>
  <c r="BP43" i="73"/>
  <c r="AB43" i="73" s="1"/>
  <c r="BL113" i="73"/>
  <c r="AA113" i="73" s="1"/>
  <c r="AN113" i="73"/>
  <c r="AP113" i="73" s="1"/>
  <c r="AU113" i="73" s="1"/>
  <c r="BL112" i="73"/>
  <c r="AA112" i="73" s="1"/>
  <c r="AN112" i="73"/>
  <c r="AP112" i="73" s="1"/>
  <c r="AU112" i="73" s="1"/>
  <c r="BP26" i="73"/>
  <c r="AB26" i="73" s="1"/>
  <c r="AR26" i="73"/>
  <c r="AT26" i="73" s="1"/>
  <c r="AU26" i="73" s="1"/>
  <c r="AH110" i="73" l="1"/>
  <c r="AG110" i="73" s="1"/>
  <c r="R110" i="73"/>
  <c r="S110" i="73"/>
  <c r="V110" i="73" s="1"/>
  <c r="Q110" i="73"/>
  <c r="P110" i="73"/>
  <c r="AH113" i="73"/>
  <c r="AG113" i="73" s="1"/>
  <c r="P113" i="73"/>
  <c r="R113" i="73"/>
  <c r="Q113" i="73"/>
  <c r="S113" i="73"/>
  <c r="V113" i="73" s="1"/>
  <c r="AH112" i="73"/>
  <c r="AG112" i="73" s="1"/>
  <c r="R112" i="73"/>
  <c r="S112" i="73"/>
  <c r="V112" i="73" s="1"/>
  <c r="Q112" i="73"/>
  <c r="P112" i="73"/>
  <c r="AH115" i="73"/>
  <c r="AG115" i="73" s="1"/>
  <c r="P115" i="73"/>
  <c r="Q115" i="73"/>
  <c r="S115" i="73"/>
  <c r="V115" i="73" s="1"/>
  <c r="R115" i="73"/>
  <c r="AH33" i="73"/>
  <c r="AG33" i="73" s="1"/>
  <c r="Q33" i="73"/>
  <c r="AH32" i="73"/>
  <c r="Q32" i="73"/>
  <c r="AH29" i="73"/>
  <c r="AG29" i="73" s="1"/>
  <c r="Q29" i="73"/>
  <c r="AH30" i="73"/>
  <c r="AG30" i="73" s="1"/>
  <c r="Q30" i="73"/>
  <c r="AH26" i="73"/>
  <c r="AG26" i="73" s="1"/>
  <c r="Q26" i="73"/>
  <c r="AH28" i="73"/>
  <c r="AG28" i="73" s="1"/>
  <c r="Q28" i="73"/>
  <c r="AH34" i="73"/>
  <c r="AG34" i="73" s="1"/>
  <c r="Q34" i="73"/>
  <c r="AH37" i="73"/>
  <c r="AG37" i="73" s="1"/>
  <c r="Q37" i="73"/>
  <c r="AH27" i="73"/>
  <c r="AG27" i="73" s="1"/>
  <c r="Q27" i="73"/>
  <c r="AH41" i="73"/>
  <c r="AG41" i="73" s="1"/>
  <c r="Q41" i="73"/>
  <c r="AH44" i="73"/>
  <c r="AG44" i="73" s="1"/>
  <c r="Q44" i="73"/>
  <c r="AH35" i="73"/>
  <c r="AG35" i="73" s="1"/>
  <c r="Q35" i="73"/>
  <c r="AH48" i="73"/>
  <c r="AG48" i="73" s="1"/>
  <c r="Q48" i="73"/>
  <c r="AH42" i="73"/>
  <c r="AG42" i="73" s="1"/>
  <c r="Q42" i="73"/>
  <c r="AH39" i="73"/>
  <c r="AG39" i="73" s="1"/>
  <c r="Q39" i="73"/>
  <c r="AG32" i="73"/>
  <c r="S33" i="73"/>
  <c r="V33" i="73" s="1"/>
  <c r="R33" i="73"/>
  <c r="P33" i="73"/>
  <c r="P32" i="73"/>
  <c r="S32" i="73"/>
  <c r="V32" i="73" s="1"/>
  <c r="R32" i="73"/>
  <c r="S29" i="73"/>
  <c r="V29" i="73" s="1"/>
  <c r="R29" i="73"/>
  <c r="P29" i="73"/>
  <c r="R30" i="73"/>
  <c r="S30" i="73"/>
  <c r="V30" i="73" s="1"/>
  <c r="P30" i="73"/>
  <c r="R26" i="73"/>
  <c r="P26" i="73"/>
  <c r="S26" i="73"/>
  <c r="V26" i="73" s="1"/>
  <c r="P28" i="73"/>
  <c r="R28" i="73"/>
  <c r="S28" i="73"/>
  <c r="V28" i="73" s="1"/>
  <c r="R34" i="73"/>
  <c r="P34" i="73"/>
  <c r="S34" i="73"/>
  <c r="V34" i="73" s="1"/>
  <c r="S37" i="73"/>
  <c r="V37" i="73" s="1"/>
  <c r="R37" i="73"/>
  <c r="P37" i="73"/>
  <c r="R27" i="73"/>
  <c r="P27" i="73"/>
  <c r="S27" i="73"/>
  <c r="V27" i="73" s="1"/>
  <c r="S41" i="73"/>
  <c r="V41" i="73" s="1"/>
  <c r="R41" i="73"/>
  <c r="P41" i="73"/>
  <c r="P44" i="73"/>
  <c r="S44" i="73"/>
  <c r="V44" i="73" s="1"/>
  <c r="R44" i="73"/>
  <c r="P35" i="73"/>
  <c r="S35" i="73"/>
  <c r="V35" i="73" s="1"/>
  <c r="R35" i="73"/>
  <c r="P48" i="73"/>
  <c r="S48" i="73"/>
  <c r="V48" i="73" s="1"/>
  <c r="R48" i="73"/>
  <c r="R42" i="73"/>
  <c r="P42" i="73"/>
  <c r="S42" i="73"/>
  <c r="V42" i="73" s="1"/>
  <c r="P39" i="73"/>
  <c r="S39" i="73"/>
  <c r="V39" i="73" s="1"/>
  <c r="R39" i="73"/>
  <c r="AU47" i="73"/>
  <c r="AU46" i="73"/>
  <c r="AU114" i="73"/>
  <c r="BQ46" i="73"/>
  <c r="AC46" i="73" s="1"/>
  <c r="AE46" i="73" s="1"/>
  <c r="AD46" i="73" s="1"/>
  <c r="BQ26" i="73"/>
  <c r="AC26" i="73" s="1"/>
  <c r="AE26" i="73" s="1"/>
  <c r="AD26" i="73" s="1"/>
  <c r="BQ42" i="73"/>
  <c r="AC42" i="73" s="1"/>
  <c r="AE42" i="73" s="1"/>
  <c r="AD42" i="73" s="1"/>
  <c r="BQ43" i="73"/>
  <c r="AC43" i="73" s="1"/>
  <c r="AE43" i="73" s="1"/>
  <c r="AD43" i="73" s="1"/>
  <c r="BQ29" i="73"/>
  <c r="AC29" i="73" s="1"/>
  <c r="AE29" i="73" s="1"/>
  <c r="AD29" i="73" s="1"/>
  <c r="BQ114" i="73"/>
  <c r="AC114" i="73" s="1"/>
  <c r="AE114" i="73" s="1"/>
  <c r="AD114" i="73" s="1"/>
  <c r="BQ115" i="73"/>
  <c r="AC115" i="73" s="1"/>
  <c r="AE115" i="73" s="1"/>
  <c r="AD115" i="73" s="1"/>
  <c r="AU45" i="73"/>
  <c r="BQ31" i="73"/>
  <c r="AC31" i="73" s="1"/>
  <c r="AE31" i="73" s="1"/>
  <c r="AD31" i="73" s="1"/>
  <c r="AU43" i="73"/>
  <c r="BQ47" i="73"/>
  <c r="AC47" i="73" s="1"/>
  <c r="AE47" i="73" s="1"/>
  <c r="AD47" i="73" s="1"/>
  <c r="BQ48" i="73"/>
  <c r="AC48" i="73" s="1"/>
  <c r="AE48" i="73" s="1"/>
  <c r="AD48" i="73" s="1"/>
  <c r="BQ33" i="73"/>
  <c r="AC33" i="73" s="1"/>
  <c r="AE33" i="73" s="1"/>
  <c r="AD33" i="73" s="1"/>
  <c r="BQ32" i="73"/>
  <c r="AC32" i="73" s="1"/>
  <c r="AE32" i="73" s="1"/>
  <c r="AD32" i="73" s="1"/>
  <c r="BQ30" i="73"/>
  <c r="AC30" i="73" s="1"/>
  <c r="AE30" i="73" s="1"/>
  <c r="AD30" i="73" s="1"/>
  <c r="BQ113" i="73"/>
  <c r="AC113" i="73" s="1"/>
  <c r="AE113" i="73" s="1"/>
  <c r="AD113" i="73" s="1"/>
  <c r="BQ39" i="73"/>
  <c r="AC39" i="73" s="1"/>
  <c r="AE39" i="73" s="1"/>
  <c r="AD39" i="73" s="1"/>
  <c r="BQ112" i="73"/>
  <c r="AC112" i="73" s="1"/>
  <c r="AE112" i="73" s="1"/>
  <c r="AD112" i="73" s="1"/>
  <c r="BQ28" i="73"/>
  <c r="AC28" i="73" s="1"/>
  <c r="AE28" i="73" s="1"/>
  <c r="AD28" i="73" s="1"/>
  <c r="BQ34" i="73"/>
  <c r="AC34" i="73" s="1"/>
  <c r="AE34" i="73" s="1"/>
  <c r="AD34" i="73" s="1"/>
  <c r="BQ37" i="73"/>
  <c r="AC37" i="73" s="1"/>
  <c r="AE37" i="73" s="1"/>
  <c r="AD37" i="73" s="1"/>
  <c r="BQ110" i="73"/>
  <c r="AC110" i="73" s="1"/>
  <c r="AE110" i="73" s="1"/>
  <c r="AD110" i="73" s="1"/>
  <c r="BQ27" i="73"/>
  <c r="AC27" i="73" s="1"/>
  <c r="AE27" i="73" s="1"/>
  <c r="AD27" i="73" s="1"/>
  <c r="BQ41" i="73"/>
  <c r="AC41" i="73" s="1"/>
  <c r="AE41" i="73" s="1"/>
  <c r="AD41" i="73" s="1"/>
  <c r="BQ45" i="73"/>
  <c r="AC45" i="73" s="1"/>
  <c r="AE45" i="73" s="1"/>
  <c r="AD45" i="73" s="1"/>
  <c r="BQ44" i="73"/>
  <c r="AC44" i="73" s="1"/>
  <c r="AE44" i="73" s="1"/>
  <c r="AD44" i="73" s="1"/>
  <c r="BQ35" i="73"/>
  <c r="AC35" i="73" s="1"/>
  <c r="AE35" i="73" s="1"/>
  <c r="AD35" i="73" s="1"/>
  <c r="AU31" i="73"/>
  <c r="R114" i="73" l="1"/>
  <c r="Q114" i="73"/>
  <c r="P114" i="73"/>
  <c r="S114" i="73"/>
  <c r="V114" i="73" s="1"/>
  <c r="AH46" i="73"/>
  <c r="AG46" i="73" s="1"/>
  <c r="Q46" i="73"/>
  <c r="AH43" i="73"/>
  <c r="AG43" i="73" s="1"/>
  <c r="Q43" i="73"/>
  <c r="AH47" i="73"/>
  <c r="AG47" i="73" s="1"/>
  <c r="Q47" i="73"/>
  <c r="AH31" i="73"/>
  <c r="AG31" i="73" s="1"/>
  <c r="Q31" i="73"/>
  <c r="AH45" i="73"/>
  <c r="AG45" i="73" s="1"/>
  <c r="Q45" i="73"/>
  <c r="AH114" i="73"/>
  <c r="P47" i="73"/>
  <c r="S47" i="73"/>
  <c r="V47" i="73" s="1"/>
  <c r="R47" i="73"/>
  <c r="S31" i="73"/>
  <c r="V31" i="73" s="1"/>
  <c r="R31" i="73"/>
  <c r="P31" i="73"/>
  <c r="S45" i="73"/>
  <c r="V45" i="73" s="1"/>
  <c r="R45" i="73"/>
  <c r="P45" i="73"/>
  <c r="P43" i="73"/>
  <c r="S43" i="73"/>
  <c r="V43" i="73" s="1"/>
  <c r="R43" i="73"/>
  <c r="R46" i="73"/>
  <c r="S46" i="73"/>
  <c r="V46" i="73" s="1"/>
  <c r="P46" i="73"/>
  <c r="AG114" i="73" l="1"/>
  <c r="C314" i="39"/>
  <c r="C316" i="39" s="1"/>
  <c r="C318" i="39" l="1"/>
  <c r="C325" i="39" s="1"/>
  <c r="C330" i="39" s="1"/>
  <c r="C333" i="39" l="1"/>
  <c r="C335" i="39" s="1"/>
  <c r="M52" i="36" l="1"/>
  <c r="L52" i="36"/>
  <c r="A52" i="36"/>
  <c r="L53" i="36"/>
  <c r="A53" i="36"/>
  <c r="M53" i="36"/>
  <c r="M51" i="36"/>
  <c r="L51" i="36"/>
  <c r="P53" i="36"/>
  <c r="Q53" i="36" s="1"/>
  <c r="P51" i="36"/>
  <c r="Q51" i="36" s="1"/>
  <c r="P52" i="36"/>
  <c r="Q52" i="36" s="1"/>
  <c r="K53" i="36"/>
  <c r="K51" i="36"/>
  <c r="K52" i="36"/>
  <c r="A51" i="36"/>
  <c r="N51" i="36" l="1"/>
  <c r="S51" i="36" s="1"/>
  <c r="N52" i="36"/>
  <c r="S52" i="36" s="1"/>
  <c r="N53" i="36"/>
  <c r="M54" i="36"/>
  <c r="P54" i="36"/>
  <c r="Q54" i="36" s="1"/>
  <c r="K54" i="36"/>
  <c r="L54" i="36"/>
  <c r="A54" i="36"/>
  <c r="R51" i="36" l="1"/>
  <c r="U51" i="36" s="1"/>
  <c r="V51" i="36" s="1"/>
  <c r="R52" i="36"/>
  <c r="U52" i="36" s="1"/>
  <c r="V52" i="36" s="1"/>
  <c r="R53" i="36"/>
  <c r="U53" i="36" s="1"/>
  <c r="V53" i="36" s="1"/>
  <c r="S53" i="36"/>
  <c r="N54" i="36"/>
  <c r="S54" i="36" l="1"/>
  <c r="R54" i="36"/>
  <c r="U54" i="36" s="1"/>
  <c r="V54" i="36" s="1"/>
  <c r="L58" i="36"/>
  <c r="M58" i="36"/>
  <c r="A58" i="36"/>
  <c r="M59" i="36"/>
  <c r="A59" i="36"/>
  <c r="L59" i="36"/>
  <c r="L60" i="36"/>
  <c r="A60" i="36"/>
  <c r="M60" i="36"/>
  <c r="M57" i="36"/>
  <c r="A57" i="36"/>
  <c r="L57" i="36"/>
  <c r="A61" i="36"/>
  <c r="L61" i="36"/>
  <c r="M61" i="36"/>
  <c r="M55" i="36"/>
  <c r="L55" i="36"/>
  <c r="P60" i="36"/>
  <c r="Q60" i="36" s="1"/>
  <c r="L63" i="36"/>
  <c r="M63" i="36"/>
  <c r="P62" i="36"/>
  <c r="Q62" i="36" s="1"/>
  <c r="L62" i="36"/>
  <c r="A62" i="36"/>
  <c r="M62" i="36"/>
  <c r="L56" i="36"/>
  <c r="M56" i="36"/>
  <c r="A56" i="36"/>
  <c r="P63" i="36"/>
  <c r="Q63" i="36" s="1"/>
  <c r="P57" i="36"/>
  <c r="Q57" i="36" s="1"/>
  <c r="K61" i="36"/>
  <c r="P61" i="36"/>
  <c r="Q61" i="36" s="1"/>
  <c r="P55" i="36"/>
  <c r="Q55" i="36" s="1"/>
  <c r="P59" i="36"/>
  <c r="Q59" i="36" s="1"/>
  <c r="K63" i="36"/>
  <c r="K59" i="36"/>
  <c r="P56" i="36"/>
  <c r="Q56" i="36" s="1"/>
  <c r="K60" i="36"/>
  <c r="K55" i="36"/>
  <c r="K56" i="36"/>
  <c r="K62" i="36"/>
  <c r="K57" i="36"/>
  <c r="P58" i="36"/>
  <c r="Q58" i="36" s="1"/>
  <c r="K58" i="36"/>
  <c r="A55" i="36"/>
  <c r="A63" i="36"/>
  <c r="H66" i="73" l="1"/>
  <c r="H68" i="73"/>
  <c r="J68" i="73" s="1"/>
  <c r="H64" i="73"/>
  <c r="J64" i="73" s="1"/>
  <c r="H67" i="73"/>
  <c r="F68" i="73"/>
  <c r="BM66" i="73"/>
  <c r="BO67" i="73"/>
  <c r="BC66" i="73"/>
  <c r="AZ68" i="73"/>
  <c r="AN68" i="73" s="1"/>
  <c r="BE68" i="73"/>
  <c r="AS68" i="73" s="1"/>
  <c r="BM67" i="73"/>
  <c r="BC68" i="73"/>
  <c r="BJ66" i="73"/>
  <c r="BL66" i="73" s="1"/>
  <c r="AA66" i="73" s="1"/>
  <c r="BO66" i="73"/>
  <c r="BN67" i="73"/>
  <c r="BN66" i="73"/>
  <c r="AZ66" i="73"/>
  <c r="G68" i="73"/>
  <c r="BJ67" i="73"/>
  <c r="BL67" i="73" s="1"/>
  <c r="AA67" i="73" s="1"/>
  <c r="E68" i="73"/>
  <c r="AX68" i="73" s="1"/>
  <c r="BD68" i="73"/>
  <c r="AR68" i="73" s="1"/>
  <c r="BE69" i="73"/>
  <c r="AS69" i="73" s="1"/>
  <c r="G65" i="73"/>
  <c r="BN65" i="73"/>
  <c r="AZ64" i="73"/>
  <c r="BD67" i="73"/>
  <c r="BM65" i="73"/>
  <c r="G69" i="73"/>
  <c r="J67" i="73"/>
  <c r="BD69" i="73"/>
  <c r="AR69" i="73" s="1"/>
  <c r="BJ65" i="73"/>
  <c r="BL65" i="73" s="1"/>
  <c r="AA65" i="73" s="1"/>
  <c r="BO65" i="73"/>
  <c r="BC65" i="73"/>
  <c r="BE67" i="73"/>
  <c r="BC69" i="73"/>
  <c r="E69" i="73"/>
  <c r="AX69" i="73" s="1"/>
  <c r="BM64" i="73"/>
  <c r="E67" i="73"/>
  <c r="AX67" i="73" s="1"/>
  <c r="BE65" i="73"/>
  <c r="G67" i="73"/>
  <c r="F65" i="73"/>
  <c r="AZ65" i="73"/>
  <c r="BJ64" i="73"/>
  <c r="BL64" i="73" s="1"/>
  <c r="AA64" i="73" s="1"/>
  <c r="BC67" i="73"/>
  <c r="G64" i="73"/>
  <c r="AZ67" i="73"/>
  <c r="E64" i="73"/>
  <c r="AX64" i="73" s="1"/>
  <c r="F69" i="73"/>
  <c r="F64" i="73"/>
  <c r="E65" i="73"/>
  <c r="AX65" i="73" s="1"/>
  <c r="J65" i="73"/>
  <c r="BO64" i="73"/>
  <c r="BC64" i="73"/>
  <c r="BD64" i="73"/>
  <c r="H69" i="73"/>
  <c r="J69" i="73" s="1"/>
  <c r="F67" i="73"/>
  <c r="AZ69" i="73"/>
  <c r="AN69" i="73" s="1"/>
  <c r="BE64" i="73"/>
  <c r="BD65" i="73"/>
  <c r="BN64" i="73"/>
  <c r="N57" i="36"/>
  <c r="R57" i="36" s="1"/>
  <c r="U57" i="36" s="1"/>
  <c r="V57" i="36" s="1"/>
  <c r="N63" i="36"/>
  <c r="S63" i="36" s="1"/>
  <c r="N61" i="36"/>
  <c r="R61" i="36" s="1"/>
  <c r="U61" i="36" s="1"/>
  <c r="V61" i="36" s="1"/>
  <c r="N56" i="36"/>
  <c r="S56" i="36" s="1"/>
  <c r="N60" i="36"/>
  <c r="R60" i="36" s="1"/>
  <c r="U60" i="36" s="1"/>
  <c r="V60" i="36" s="1"/>
  <c r="N55" i="36"/>
  <c r="N59" i="36"/>
  <c r="R59" i="36" s="1"/>
  <c r="U59" i="36" s="1"/>
  <c r="V59" i="36" s="1"/>
  <c r="N62" i="36"/>
  <c r="S62" i="36" s="1"/>
  <c r="N58" i="36"/>
  <c r="S57" i="36" l="1"/>
  <c r="S61" i="36"/>
  <c r="AN66" i="73"/>
  <c r="AN67" i="73"/>
  <c r="AR67" i="73"/>
  <c r="AR65" i="73"/>
  <c r="AN65" i="73"/>
  <c r="AS64" i="73"/>
  <c r="AR64" i="73"/>
  <c r="AS67" i="73"/>
  <c r="BF68" i="73"/>
  <c r="Y68" i="73" s="1"/>
  <c r="AQ68" i="73"/>
  <c r="AT68" i="73" s="1"/>
  <c r="BP66" i="73"/>
  <c r="AB66" i="73" s="1"/>
  <c r="BP67" i="73"/>
  <c r="AB67" i="73" s="1"/>
  <c r="AY68" i="73"/>
  <c r="BB68" i="73" s="1"/>
  <c r="X68" i="73" s="1"/>
  <c r="AL68" i="73"/>
  <c r="AQ66" i="73"/>
  <c r="AL64" i="73"/>
  <c r="AY64" i="73"/>
  <c r="BB64" i="73" s="1"/>
  <c r="X64" i="73" s="1"/>
  <c r="AL69" i="73"/>
  <c r="AY69" i="73"/>
  <c r="BB69" i="73" s="1"/>
  <c r="X69" i="73" s="1"/>
  <c r="AN64" i="73"/>
  <c r="AL65" i="73"/>
  <c r="AY65" i="73"/>
  <c r="BB65" i="73" s="1"/>
  <c r="X65" i="73" s="1"/>
  <c r="AS65" i="73"/>
  <c r="BF69" i="73"/>
  <c r="Y69" i="73" s="1"/>
  <c r="AQ69" i="73"/>
  <c r="AT69" i="73" s="1"/>
  <c r="BF64" i="73"/>
  <c r="Y64" i="73" s="1"/>
  <c r="AQ64" i="73"/>
  <c r="AL67" i="73"/>
  <c r="AY67" i="73"/>
  <c r="BB67" i="73" s="1"/>
  <c r="X67" i="73" s="1"/>
  <c r="BP65" i="73"/>
  <c r="AB65" i="73" s="1"/>
  <c r="BF67" i="73"/>
  <c r="Y67" i="73" s="1"/>
  <c r="AQ67" i="73"/>
  <c r="BP64" i="73"/>
  <c r="AB64" i="73" s="1"/>
  <c r="BF65" i="73"/>
  <c r="Y65" i="73" s="1"/>
  <c r="AQ65" i="73"/>
  <c r="S60" i="36"/>
  <c r="S59" i="36"/>
  <c r="R63" i="36"/>
  <c r="U63" i="36" s="1"/>
  <c r="V63" i="36" s="1"/>
  <c r="R56" i="36"/>
  <c r="U56" i="36" s="1"/>
  <c r="V56" i="36" s="1"/>
  <c r="R62" i="36"/>
  <c r="U62" i="36" s="1"/>
  <c r="V62" i="36" s="1"/>
  <c r="S55" i="36"/>
  <c r="R55" i="36"/>
  <c r="U55" i="36" s="1"/>
  <c r="V55" i="36" s="1"/>
  <c r="R58" i="36"/>
  <c r="U58" i="36" s="1"/>
  <c r="V58" i="36" s="1"/>
  <c r="S58" i="36"/>
  <c r="AT64" i="73" l="1"/>
  <c r="AM64" i="73"/>
  <c r="U64" i="73" s="1"/>
  <c r="T64" i="73"/>
  <c r="AM65" i="73"/>
  <c r="T65" i="73"/>
  <c r="AM69" i="73"/>
  <c r="T69" i="73"/>
  <c r="AM68" i="73"/>
  <c r="T68" i="73"/>
  <c r="AM67" i="73"/>
  <c r="T67" i="73"/>
  <c r="BQ66" i="73"/>
  <c r="AC66" i="73" s="1"/>
  <c r="AT67" i="73"/>
  <c r="J66" i="73"/>
  <c r="G66" i="73"/>
  <c r="F66" i="73"/>
  <c r="E66" i="73"/>
  <c r="AX66" i="73" s="1"/>
  <c r="BE66" i="73"/>
  <c r="AS66" i="73" s="1"/>
  <c r="BD66" i="73"/>
  <c r="BG68" i="73"/>
  <c r="Z68" i="73" s="1"/>
  <c r="AE68" i="73" s="1"/>
  <c r="AD68" i="73" s="1"/>
  <c r="BQ67" i="73"/>
  <c r="AC67" i="73" s="1"/>
  <c r="AT65" i="73"/>
  <c r="BQ64" i="73"/>
  <c r="AC64" i="73" s="1"/>
  <c r="BQ65" i="73"/>
  <c r="AC65" i="73" s="1"/>
  <c r="BG65" i="73"/>
  <c r="Z65" i="73" s="1"/>
  <c r="BG69" i="73"/>
  <c r="Z69" i="73" s="1"/>
  <c r="AE69" i="73" s="1"/>
  <c r="AD69" i="73" s="1"/>
  <c r="BG67" i="73"/>
  <c r="Z67" i="73" s="1"/>
  <c r="BG64" i="73"/>
  <c r="Z64" i="73" s="1"/>
  <c r="AP64" i="73" l="1"/>
  <c r="AU64" i="73"/>
  <c r="Q64" i="73" s="1"/>
  <c r="AE65" i="73"/>
  <c r="AD65" i="73" s="1"/>
  <c r="AP68" i="73"/>
  <c r="AU68" i="73" s="1"/>
  <c r="U68" i="73"/>
  <c r="AP65" i="73"/>
  <c r="AU65" i="73" s="1"/>
  <c r="U65" i="73"/>
  <c r="AP67" i="73"/>
  <c r="AU67" i="73" s="1"/>
  <c r="U67" i="73"/>
  <c r="AP69" i="73"/>
  <c r="AU69" i="73" s="1"/>
  <c r="U69" i="73"/>
  <c r="AE67" i="73"/>
  <c r="AD67" i="73" s="1"/>
  <c r="AE64" i="73"/>
  <c r="AD64" i="73" s="1"/>
  <c r="AY66" i="73"/>
  <c r="BB66" i="73" s="1"/>
  <c r="X66" i="73" s="1"/>
  <c r="AL66" i="73"/>
  <c r="AR66" i="73"/>
  <c r="AT66" i="73" s="1"/>
  <c r="BF66" i="73"/>
  <c r="Y66" i="73" s="1"/>
  <c r="R64" i="73" l="1"/>
  <c r="AH64" i="73"/>
  <c r="AG64" i="73" s="1"/>
  <c r="P64" i="73"/>
  <c r="S64" i="73"/>
  <c r="V64" i="73" s="1"/>
  <c r="R65" i="73"/>
  <c r="S65" i="73"/>
  <c r="V65" i="73" s="1"/>
  <c r="Q65" i="73"/>
  <c r="P65" i="73"/>
  <c r="Q68" i="73"/>
  <c r="S68" i="73"/>
  <c r="V68" i="73" s="1"/>
  <c r="P68" i="73"/>
  <c r="R68" i="73"/>
  <c r="Q69" i="73"/>
  <c r="P69" i="73"/>
  <c r="R69" i="73"/>
  <c r="S69" i="73"/>
  <c r="V69" i="73" s="1"/>
  <c r="R67" i="73"/>
  <c r="P67" i="73"/>
  <c r="S67" i="73"/>
  <c r="V67" i="73" s="1"/>
  <c r="Q67" i="73"/>
  <c r="AH67" i="73"/>
  <c r="AG67" i="73" s="1"/>
  <c r="AM66" i="73"/>
  <c r="T66" i="73"/>
  <c r="AH68" i="73"/>
  <c r="AG68" i="73" s="1"/>
  <c r="AH69" i="73"/>
  <c r="AG69" i="73" s="1"/>
  <c r="AH65" i="73"/>
  <c r="AG65" i="73" s="1"/>
  <c r="BG66" i="73"/>
  <c r="Z66" i="73" s="1"/>
  <c r="AE66" i="73" s="1"/>
  <c r="AD66" i="73" s="1"/>
  <c r="AP66" i="73" l="1"/>
  <c r="AU66" i="73" s="1"/>
  <c r="U66" i="73"/>
  <c r="R66" i="73" l="1"/>
  <c r="S66" i="73"/>
  <c r="V66" i="73" s="1"/>
  <c r="Q66" i="73"/>
  <c r="P66" i="73"/>
  <c r="AH66" i="73"/>
  <c r="AG66" i="73" s="1"/>
</calcChain>
</file>

<file path=xl/comments1.xml><?xml version="1.0" encoding="utf-8"?>
<comments xmlns="http://schemas.openxmlformats.org/spreadsheetml/2006/main">
  <authors>
    <author>Pieter Burger</author>
  </authors>
  <commentList>
    <comment ref="H14" authorId="0" shapeId="0">
      <text>
        <r>
          <rPr>
            <b/>
            <sz val="9"/>
            <color indexed="81"/>
            <rFont val="Tahoma"/>
            <family val="2"/>
          </rPr>
          <t>Kraggebruik van trekker</t>
        </r>
        <r>
          <rPr>
            <sz val="9"/>
            <color indexed="81"/>
            <rFont val="Tahoma"/>
            <family val="2"/>
          </rPr>
          <t xml:space="preserve">
L = Laag
M = Medium
H = Hoog
Enige iets anders is DROOG (geen brandstof)</t>
        </r>
      </text>
    </comment>
    <comment ref="H77" authorId="0" shapeId="0">
      <text>
        <r>
          <rPr>
            <b/>
            <sz val="9"/>
            <color indexed="81"/>
            <rFont val="Tahoma"/>
            <family val="2"/>
          </rPr>
          <t>Kraggebruik van trekker</t>
        </r>
        <r>
          <rPr>
            <sz val="9"/>
            <color indexed="81"/>
            <rFont val="Tahoma"/>
            <family val="2"/>
          </rPr>
          <t xml:space="preserve">
L = Laag
M = Medium
H = Hoog
Enige iets anders is DROOG (geen brandstof)</t>
        </r>
      </text>
    </comment>
    <comment ref="H109" authorId="0" shapeId="0">
      <text>
        <r>
          <rPr>
            <b/>
            <sz val="9"/>
            <color indexed="81"/>
            <rFont val="Tahoma"/>
            <family val="2"/>
          </rPr>
          <t>Kraggebruik van trekker</t>
        </r>
        <r>
          <rPr>
            <sz val="9"/>
            <color indexed="81"/>
            <rFont val="Tahoma"/>
            <family val="2"/>
          </rPr>
          <t xml:space="preserve">
L = Laag
M = Medium
H = Hoog
Enige iets anders is DROOG (geen brandstof)</t>
        </r>
      </text>
    </comment>
  </commentList>
</comments>
</file>

<file path=xl/sharedStrings.xml><?xml version="1.0" encoding="utf-8"?>
<sst xmlns="http://schemas.openxmlformats.org/spreadsheetml/2006/main" count="2471" uniqueCount="1522">
  <si>
    <t>+</t>
  </si>
  <si>
    <t>-</t>
  </si>
  <si>
    <t>FAHR M770</t>
  </si>
  <si>
    <t>CLAYSON 103</t>
  </si>
  <si>
    <t>FAHR M1080</t>
  </si>
  <si>
    <t>FAHR M1202</t>
  </si>
  <si>
    <t>MF 750</t>
  </si>
  <si>
    <t>CLAAS DOMINATOR 68</t>
  </si>
  <si>
    <t>LAVERDA 3550(VETSAK)</t>
  </si>
  <si>
    <t>CASE 1640 / CLAAS 96/ CLAYSON 8060</t>
  </si>
  <si>
    <t>MF 850</t>
  </si>
  <si>
    <t>CLAAS D 78 SL / CLAAS MEGA 202</t>
  </si>
  <si>
    <t>CLAAS 98 / MF 860</t>
  </si>
  <si>
    <t>CLAAS D 98 SL ; MEGA 203 / FAHR M35.80H</t>
  </si>
  <si>
    <t>JD 9400</t>
  </si>
  <si>
    <t>LAVERDA 3790(VETSAK)</t>
  </si>
  <si>
    <t>CASE IH 1644</t>
  </si>
  <si>
    <t>CLAAS MEDION 310</t>
  </si>
  <si>
    <t>JD 9500</t>
  </si>
  <si>
    <t>CLAAS 106</t>
  </si>
  <si>
    <t>CLAAS MEGA 208</t>
  </si>
  <si>
    <t>CLAAS D 115CS</t>
  </si>
  <si>
    <t>CLAAS LEXION 440</t>
  </si>
  <si>
    <t>CASE IH 1688</t>
  </si>
  <si>
    <t>CLAAS 460 LEXION</t>
  </si>
  <si>
    <t>R/UUR</t>
  </si>
  <si>
    <t xml:space="preserve">SKOTTELPLOEE </t>
  </si>
  <si>
    <t>meter</t>
  </si>
  <si>
    <t>%</t>
  </si>
  <si>
    <t>TREKKER</t>
  </si>
  <si>
    <t>TOTAAL</t>
  </si>
  <si>
    <t>VASTE KOSTE</t>
  </si>
  <si>
    <t>VERANDERLIKE KOSTE</t>
  </si>
  <si>
    <t>BANDE</t>
  </si>
  <si>
    <t>AKSIE</t>
  </si>
  <si>
    <t>R/HA</t>
  </si>
  <si>
    <t>PLATSNYERS</t>
  </si>
  <si>
    <t>JD 9600</t>
  </si>
  <si>
    <t>IMPLEMENT</t>
  </si>
  <si>
    <t>Totaal</t>
  </si>
  <si>
    <t>AANNAMES</t>
  </si>
  <si>
    <t>Ander</t>
  </si>
  <si>
    <t>ANDER</t>
  </si>
  <si>
    <t>Droog</t>
  </si>
  <si>
    <t>kW</t>
  </si>
  <si>
    <t>Brandstof</t>
  </si>
  <si>
    <t>4 X 2 TREKKERS</t>
  </si>
  <si>
    <t>pK</t>
  </si>
  <si>
    <t>Waardevermindering</t>
  </si>
  <si>
    <t>Versekering &amp; lisensie</t>
  </si>
  <si>
    <t>Rente</t>
  </si>
  <si>
    <t>Herstel &amp; onderhoud</t>
  </si>
  <si>
    <t>Rand</t>
  </si>
  <si>
    <t>liter per kW</t>
  </si>
  <si>
    <t>liter per kW  =</t>
  </si>
  <si>
    <t>Lae krag :</t>
  </si>
  <si>
    <t>Meduim krag :</t>
  </si>
  <si>
    <t>per liter</t>
  </si>
  <si>
    <t>Skrootwaarde (R) =</t>
  </si>
  <si>
    <t>Gemiddelde belegging (R) = (Aankoopprys + Skrootwaarde) ÷ 2</t>
  </si>
  <si>
    <t>Gemiddelde aankoopprys per kilowatt (R/kW) :</t>
  </si>
  <si>
    <t>per kW</t>
  </si>
  <si>
    <t>Leeftyd in ure =</t>
  </si>
  <si>
    <t xml:space="preserve">Jaarlikse gebruik = </t>
  </si>
  <si>
    <t>Spesifiek tot trekkers</t>
  </si>
  <si>
    <t xml:space="preserve">4 X 2 </t>
  </si>
  <si>
    <t>4 X 4</t>
  </si>
  <si>
    <t>Aankoopprys (R) sluit nie BTW in nie.</t>
  </si>
  <si>
    <t>kW kategorie</t>
  </si>
  <si>
    <t>4 X 4 TREKKERS</t>
  </si>
  <si>
    <t>c/liter</t>
  </si>
  <si>
    <t>Dieselkorting =</t>
  </si>
  <si>
    <t>kode</t>
  </si>
  <si>
    <t>Aankoopprys (sonder BTW)</t>
  </si>
  <si>
    <t>Brandstof gebruik volgens kraggebruik van trekker</t>
  </si>
  <si>
    <t>Jaarlikse gebruik</t>
  </si>
  <si>
    <t>Leeftyd</t>
  </si>
  <si>
    <t>Ure</t>
  </si>
  <si>
    <t>Aannames</t>
  </si>
  <si>
    <t>Leeftyd in ure en Jaarlikse gebruik is spesifiek tot elke implement</t>
  </si>
  <si>
    <t>Rentekoers (%)</t>
  </si>
  <si>
    <t>TREKKER KOSTE</t>
  </si>
  <si>
    <t>Vaste koste</t>
  </si>
  <si>
    <t>#</t>
  </si>
  <si>
    <t>Beskrywing</t>
  </si>
  <si>
    <t>Werk wydte (m)</t>
  </si>
  <si>
    <t>Tydsduur (Hr/Ha)</t>
  </si>
  <si>
    <t>Brandstof gebruik (Lt/Ha)</t>
  </si>
  <si>
    <t>Alle ander (R/Ha)</t>
  </si>
  <si>
    <t>Totaal Vaste (R/Ha)</t>
  </si>
  <si>
    <t>Totale Koste (R/Ha)</t>
  </si>
  <si>
    <t>L</t>
  </si>
  <si>
    <t>Totale Lopende Koste</t>
  </si>
  <si>
    <t>Veranderlike Koste</t>
  </si>
  <si>
    <t>Vaste Koste</t>
  </si>
  <si>
    <t>Herstel &amp; Onderh. %</t>
  </si>
  <si>
    <t>Brandstof gebruik berekening:</t>
  </si>
  <si>
    <t>% van Aankoopprys</t>
  </si>
  <si>
    <t>% van Gemiddelde belegging ÷ ure gebruik per jaar</t>
  </si>
  <si>
    <t>% van Aankoopprys ÷ Leeftyd in ure</t>
  </si>
  <si>
    <t>% van kW  x</t>
  </si>
  <si>
    <t>CLAAS 430 TOCANO</t>
  </si>
  <si>
    <t>CASE IH AXELFLOW 2366</t>
  </si>
  <si>
    <t>CLAAS MEGA 218</t>
  </si>
  <si>
    <t>JD 9660</t>
  </si>
  <si>
    <t>CLAAS 470 LEXION</t>
  </si>
  <si>
    <t>CLAAS 570 LEXION</t>
  </si>
  <si>
    <t>CLAAS 580 LEXION</t>
  </si>
  <si>
    <t>CLAAS 480 LEXION</t>
  </si>
  <si>
    <t>CLAAS 760 LEXION</t>
  </si>
  <si>
    <t>CTS II JD</t>
  </si>
  <si>
    <t>LAVERDA 3300 (VETSAK)</t>
  </si>
  <si>
    <t>Laag</t>
  </si>
  <si>
    <t>Medium</t>
  </si>
  <si>
    <t>MODEL OF BESKRYWING</t>
  </si>
  <si>
    <t>Spesifiek tot self-aangedrewe masjienerie</t>
  </si>
  <si>
    <t>spesifieke</t>
  </si>
  <si>
    <t/>
  </si>
  <si>
    <t>SELF-AANGEDREWE PLATSNYERS</t>
  </si>
  <si>
    <t>Krag nodig</t>
  </si>
  <si>
    <t>Item</t>
  </si>
  <si>
    <t>Aantal</t>
  </si>
  <si>
    <t>Koste / item / uur</t>
  </si>
  <si>
    <t>Ander koste*</t>
  </si>
  <si>
    <t xml:space="preserve">1 Perdekrag = </t>
  </si>
  <si>
    <t>(1 kW = 1.34048 PK)</t>
  </si>
  <si>
    <t xml:space="preserve">1 Voet = </t>
  </si>
  <si>
    <t>(1 meter = 3.2808 voet)</t>
  </si>
  <si>
    <t>Trekker kode</t>
  </si>
  <si>
    <t>Krag (L/M/H)</t>
  </si>
  <si>
    <t>2W</t>
  </si>
  <si>
    <t>4W</t>
  </si>
  <si>
    <t>H</t>
  </si>
  <si>
    <t>M</t>
  </si>
  <si>
    <t>Hoë krag :</t>
  </si>
  <si>
    <t>Hoog</t>
  </si>
  <si>
    <t>per band</t>
  </si>
  <si>
    <t>kilometer</t>
  </si>
  <si>
    <t>BAKKIES</t>
  </si>
  <si>
    <t>Km</t>
  </si>
  <si>
    <t>R/Km</t>
  </si>
  <si>
    <t>Olie</t>
  </si>
  <si>
    <t>Bande</t>
  </si>
  <si>
    <t>Pryse wat gebruik word sluit BTW uit.</t>
  </si>
  <si>
    <t>Spesifiek tot bakkies alleenlik</t>
  </si>
  <si>
    <t>R / band / uur</t>
  </si>
  <si>
    <t>D / P</t>
  </si>
  <si>
    <t>Diesel</t>
  </si>
  <si>
    <t>Dryf</t>
  </si>
  <si>
    <t>Tipe</t>
  </si>
  <si>
    <t>825 x 16 -14 crossply</t>
  </si>
  <si>
    <t>900 x 20 -14 crossply</t>
  </si>
  <si>
    <t>1000 x 20 -14 crossply</t>
  </si>
  <si>
    <t>1100 x 20 - 14 crossply</t>
  </si>
  <si>
    <t>12x22.5</t>
  </si>
  <si>
    <t>Gebeur- likheid</t>
  </si>
  <si>
    <t>(Aankoopprys van 'n nuwe band x Aantal Bande) ÷ Bandleeftyd in Kilometer</t>
  </si>
  <si>
    <t>Bandkoste per kilometer =</t>
  </si>
  <si>
    <t>Gebeurlikheidsfaktor =</t>
  </si>
  <si>
    <t xml:space="preserve">H&amp;O </t>
  </si>
  <si>
    <t>Spesifiek tot self-aangedrewe stropers alleenlik</t>
  </si>
  <si>
    <t>Doeltref- fenheid 
(%)</t>
  </si>
  <si>
    <t>Prys van olie =</t>
  </si>
  <si>
    <t>SPESIFIEK TOT TREKKERS</t>
  </si>
  <si>
    <t>Olie verbruik vir bakkies:</t>
  </si>
  <si>
    <t xml:space="preserve">Leeftyd van 'n stel bande = </t>
  </si>
  <si>
    <t>Band grootte</t>
  </si>
  <si>
    <t>Prys per band</t>
  </si>
  <si>
    <t>Bandpryse vir verskillende groottes =</t>
  </si>
  <si>
    <t>TWEE WIEL SLEEPWAENS</t>
  </si>
  <si>
    <t>PLATSNYER TAFELS</t>
  </si>
  <si>
    <t>TAFEL</t>
  </si>
  <si>
    <t>sonder</t>
  </si>
  <si>
    <t>CLAAS DOMINATOR 78 CLASSIC</t>
  </si>
  <si>
    <t>volgens gids</t>
  </si>
  <si>
    <t>% volgens gids</t>
  </si>
  <si>
    <t>perdekrag =</t>
  </si>
  <si>
    <t>voet =</t>
  </si>
  <si>
    <t>kilowatt</t>
  </si>
  <si>
    <t xml:space="preserve"> %</t>
  </si>
  <si>
    <t>Krag bron (kW)</t>
  </si>
  <si>
    <t>Brandstof koste (R/Ha)</t>
  </si>
  <si>
    <t>Herstel &amp; Ondrh. (R/Ha)</t>
  </si>
  <si>
    <t>Totaal Verandrlik (R/Ha)</t>
  </si>
  <si>
    <t>Waarde- vermindr (R/Ha)</t>
  </si>
  <si>
    <t>Petrol / Diesel</t>
  </si>
  <si>
    <t>WERK TEMPO</t>
  </si>
  <si>
    <t>Vinnige omskakelings :</t>
  </si>
  <si>
    <t xml:space="preserve">Waardes in blou kan verander word na gelang van u unieke omstandighede. </t>
  </si>
  <si>
    <t>Rente 
(R/Ha)</t>
  </si>
  <si>
    <t>Verseke- ring &amp; lisensie</t>
  </si>
  <si>
    <t>Tafel kode</t>
  </si>
  <si>
    <t>Tafel beskrywing</t>
  </si>
  <si>
    <t>* Alle kan die volgende insluit : Olie, bande, gebeurlikheidskoste, skare, ens.</t>
  </si>
  <si>
    <t>SELF-AANGEDREWE MASJIEN</t>
  </si>
  <si>
    <t>Krag bron (PK)</t>
  </si>
  <si>
    <t>Masjien kode</t>
  </si>
  <si>
    <t>Tafel</t>
  </si>
  <si>
    <t>TAFEL KOSTE</t>
  </si>
  <si>
    <t>Vrag kapasiteit (ton)</t>
  </si>
  <si>
    <t>TEMPO</t>
  </si>
  <si>
    <t>SLEEPWA KOSTE</t>
  </si>
  <si>
    <t>SLEEPWA</t>
  </si>
  <si>
    <t>Sleepwa Kode</t>
  </si>
  <si>
    <t>Sleepwa beskrywing</t>
  </si>
  <si>
    <t>VRAG</t>
  </si>
  <si>
    <t>Tydsduur (Hr/100Km)</t>
  </si>
  <si>
    <t>BAKKIES EN LORRIES</t>
  </si>
  <si>
    <t>Waarde- vermindr (R/Km)</t>
  </si>
  <si>
    <t>Brandstof koste (R/Km)</t>
  </si>
  <si>
    <t>Herstel &amp; Ondrh. (R/Km)</t>
  </si>
  <si>
    <t>Alle ander (R/Km)</t>
  </si>
  <si>
    <t>Totaal Verandrlik (R/Km)</t>
  </si>
  <si>
    <t>Totaal Vaste (R/Km)</t>
  </si>
  <si>
    <t>Totale Koste (R/Km)</t>
  </si>
  <si>
    <t>Verseker &amp; lisensie (R/Ha)</t>
  </si>
  <si>
    <t>Rente 
(R/Km)</t>
  </si>
  <si>
    <t>Verseker &amp; lisensie (R/Km)</t>
  </si>
  <si>
    <t>Brandstof gebruik (Lt/100Km)</t>
  </si>
  <si>
    <t>Bakkie / Lorrie Kode</t>
  </si>
  <si>
    <t>* 'Alle ander' koste kan die volgende insluit : Olie, bande, gebeurlikheidskoste, skare, ens.</t>
  </si>
  <si>
    <t>KOSTE PER HEKTAAR (R/HA) : SELF-AANGEDREWE MASJIENERIE</t>
  </si>
  <si>
    <t>SELF-AANGEDREWE MASJINERIE</t>
  </si>
  <si>
    <t>MASJIEN TAFEL</t>
  </si>
  <si>
    <t>VERVOER : TREKKER MET SLEEPWA</t>
  </si>
  <si>
    <t>Waardevermindering (%)</t>
  </si>
  <si>
    <t>riglyn: 100% vir verhuring, 80% vir interne berekening</t>
  </si>
  <si>
    <t>KOSTE PER KILOMETER (R/KM)</t>
  </si>
  <si>
    <t>Omskakelings :</t>
  </si>
  <si>
    <t>OES : LAND &gt; LORRIE</t>
  </si>
  <si>
    <t>OES: LAND &gt; SILO</t>
  </si>
  <si>
    <t>SLEEPWAENS</t>
  </si>
  <si>
    <t>Veranderlik (R/Km)</t>
  </si>
  <si>
    <t>Vaste (R/Km)</t>
  </si>
  <si>
    <t>Totaal (R/Km)</t>
  </si>
  <si>
    <t>Dieselprys (na korting) =</t>
  </si>
  <si>
    <t>/liter</t>
  </si>
  <si>
    <t>H&amp;O 
%</t>
  </si>
  <si>
    <t>?</t>
  </si>
  <si>
    <t>SELF-AANGEDREWE SPUITE</t>
  </si>
  <si>
    <t>Kostes moet slegs as 'n riglyn gesien en so hanteer word. Werklike koste mag verskil van die kostes wat deur die gids deurgegee word.</t>
  </si>
  <si>
    <t>GRONDBEWERKING</t>
  </si>
  <si>
    <t>KUILVOERKERWERS</t>
  </si>
  <si>
    <t>SPUITE</t>
  </si>
  <si>
    <t>VOERVERWERKING</t>
  </si>
  <si>
    <t>HAMMERMEUL</t>
  </si>
  <si>
    <t>JD STS 9670 / CASE IH 2399</t>
  </si>
  <si>
    <t>CASE IH 2188</t>
  </si>
  <si>
    <t>CASE IH AXELFLOW 2388</t>
  </si>
  <si>
    <t>CASE IH AXELFLOW 2377</t>
  </si>
  <si>
    <t>per 20 liter kan Multi Agri Super olie =</t>
  </si>
  <si>
    <t>40-55</t>
  </si>
  <si>
    <t>50-60</t>
  </si>
  <si>
    <t>60-70</t>
  </si>
  <si>
    <t>100-120</t>
  </si>
  <si>
    <t>120-140</t>
  </si>
  <si>
    <t>150-170</t>
  </si>
  <si>
    <t>40-50</t>
  </si>
  <si>
    <t>65-80</t>
  </si>
  <si>
    <t>95-130</t>
  </si>
  <si>
    <t>30-40</t>
  </si>
  <si>
    <t>60-75</t>
  </si>
  <si>
    <t>75-100</t>
  </si>
  <si>
    <t>210-240</t>
  </si>
  <si>
    <t>160-185</t>
  </si>
  <si>
    <t>250-280</t>
  </si>
  <si>
    <t>190-215</t>
  </si>
  <si>
    <t>90-100</t>
  </si>
  <si>
    <t>126-140</t>
  </si>
  <si>
    <t>162-180</t>
  </si>
  <si>
    <t>198-220</t>
  </si>
  <si>
    <t>234-260</t>
  </si>
  <si>
    <t>270-300</t>
  </si>
  <si>
    <t>306-340</t>
  </si>
  <si>
    <t>342-380</t>
  </si>
  <si>
    <t>450-500</t>
  </si>
  <si>
    <t>486-540</t>
  </si>
  <si>
    <t>18-20</t>
  </si>
  <si>
    <t>36-40</t>
  </si>
  <si>
    <t>54-60</t>
  </si>
  <si>
    <t>SLEEP 6-RY HOË FLOTASIE TRASH FIELDSPAN  (590 DUBBELVEER TAND)</t>
  </si>
  <si>
    <t>SLEEP 6-RY HOË FLOTASIE TRASH FIELDSPAN  (HD 'S' TAND)</t>
  </si>
  <si>
    <t>DISC MOWERS</t>
  </si>
  <si>
    <t>SKYFSNYMASJIENE</t>
  </si>
  <si>
    <t>3-PUNT</t>
  </si>
  <si>
    <t>SLEEP</t>
  </si>
  <si>
    <t>VOOR MONTEER</t>
  </si>
  <si>
    <t>MOWER CONDITIONERS</t>
  </si>
  <si>
    <t>BALERS EN WRAPPERS</t>
  </si>
  <si>
    <t>GRAAN EN HOOI SNYERS</t>
  </si>
  <si>
    <t>FINGER WHEEL RAKES</t>
  </si>
  <si>
    <t>TEDDERS</t>
  </si>
  <si>
    <t>FORAGE HARVESTORS</t>
  </si>
  <si>
    <t>HORISONTALE VOERMENGWAENS</t>
  </si>
  <si>
    <t>VOERMENGWAENS</t>
  </si>
  <si>
    <t>FEED MIXER WAGONS</t>
  </si>
  <si>
    <t>VERTIKALE VOERMENGWAENS</t>
  </si>
  <si>
    <t>SLASHERS</t>
  </si>
  <si>
    <t>BALKSPUITE</t>
  </si>
  <si>
    <t>BOOM SPRAYERS</t>
  </si>
  <si>
    <t>KOUSBALKSPUIT</t>
  </si>
  <si>
    <t>SLEEVE BOOM SPRAYER</t>
  </si>
  <si>
    <t>DISC PLOUGHS</t>
  </si>
  <si>
    <t>OMKEERPLOEË</t>
  </si>
  <si>
    <t>REVERSIBLE PLOUGHS</t>
  </si>
  <si>
    <t>FINGER HARROWS AND SEEDBED ROLLERS</t>
  </si>
  <si>
    <t xml:space="preserve">VINGER EGGIES </t>
  </si>
  <si>
    <t>FINGER HARROWS</t>
  </si>
  <si>
    <t xml:space="preserve">SAADBED ROLLERS </t>
  </si>
  <si>
    <t>SEEDBED ROLLERS</t>
  </si>
  <si>
    <t>MINIMUM TILL WHEAT PLANTERS</t>
  </si>
  <si>
    <t>75-120</t>
  </si>
  <si>
    <t>85-135</t>
  </si>
  <si>
    <t>95-150</t>
  </si>
  <si>
    <t>105-170</t>
  </si>
  <si>
    <t>115-185</t>
  </si>
  <si>
    <t>125-200</t>
  </si>
  <si>
    <t>135-215</t>
  </si>
  <si>
    <t>145-230</t>
  </si>
  <si>
    <t>155-250</t>
  </si>
  <si>
    <t>165-265</t>
  </si>
  <si>
    <t>175-280</t>
  </si>
  <si>
    <t>185-295</t>
  </si>
  <si>
    <t>195-310</t>
  </si>
  <si>
    <t>205-330</t>
  </si>
  <si>
    <t>215-345</t>
  </si>
  <si>
    <t>225-360</t>
  </si>
  <si>
    <t>235-375</t>
  </si>
  <si>
    <t>245-390</t>
  </si>
  <si>
    <t>255-410</t>
  </si>
  <si>
    <t>265-425</t>
  </si>
  <si>
    <t>275-440</t>
  </si>
  <si>
    <t>285-450</t>
  </si>
  <si>
    <t>295-470</t>
  </si>
  <si>
    <t>TREKKER LAAIGRAWE</t>
  </si>
  <si>
    <t>Laaigraaf Vurkhuiser / Forklift</t>
  </si>
  <si>
    <t>Kuilvoerhanteerder / Silage Grab</t>
  </si>
  <si>
    <t>10-25</t>
  </si>
  <si>
    <t>15-35</t>
  </si>
  <si>
    <t>28-45</t>
  </si>
  <si>
    <t>35-50</t>
  </si>
  <si>
    <t>35-60</t>
  </si>
  <si>
    <t>40-60</t>
  </si>
  <si>
    <t>50-90</t>
  </si>
  <si>
    <t>42-80</t>
  </si>
  <si>
    <t>45-80</t>
  </si>
  <si>
    <t>48-80</t>
  </si>
  <si>
    <t>30-45</t>
  </si>
  <si>
    <t>30-55</t>
  </si>
  <si>
    <t>42-55</t>
  </si>
  <si>
    <t>MOULDBOARD PLOUGH</t>
  </si>
  <si>
    <t xml:space="preserve"> TREKKERS</t>
  </si>
  <si>
    <t xml:space="preserve"> AANNAMES</t>
  </si>
  <si>
    <t xml:space="preserve"> IMPLEMENTE EN SLEEPWAENS</t>
  </si>
  <si>
    <t>GRAAN AFTAPKAR</t>
  </si>
  <si>
    <t>HEAVY DUTY CRUMBLE ROLLERS</t>
  </si>
  <si>
    <t>KALK EN KUNSMISSTROOIER</t>
  </si>
  <si>
    <t>LIME AND FERTILIZER SPREADERS</t>
  </si>
  <si>
    <t>Werk wydte (meter)   x   Werk spoed (km/uur)   x   Doeltreffendheid (%)   ÷   10</t>
  </si>
  <si>
    <t>d.w.s</t>
  </si>
  <si>
    <t>Werksduur (Hr/Ha) =</t>
  </si>
  <si>
    <t>8.0 ton vragmotor</t>
  </si>
  <si>
    <t>7.0 ton vragmotor</t>
  </si>
  <si>
    <t>4.0 ton vragmotor</t>
  </si>
  <si>
    <t>3.0 ton vragmotor</t>
  </si>
  <si>
    <t>R/KM</t>
  </si>
  <si>
    <t xml:space="preserve"> VOORWOORD</t>
  </si>
  <si>
    <t>6.0 ton vragmotor</t>
  </si>
  <si>
    <t>14.0 ton vragmotor</t>
  </si>
  <si>
    <t>22.0 ton vragmotor</t>
  </si>
  <si>
    <t>25.0 ton vragmotor</t>
  </si>
  <si>
    <t>29.0 ton vragmotor</t>
  </si>
  <si>
    <t>SNYER-KNEUSERS / HAYBINE</t>
  </si>
  <si>
    <t>Die Gids sluit sekere masjinerie se kostes in wat in die landbou gebruik word.</t>
  </si>
  <si>
    <t xml:space="preserve">Die gebruik van handelsname is slegs vir informasie om  die gebruiker te help om maklikker die gids te gebruik aangesien produkbeskrywings mag wissel tussen verskaffers. </t>
  </si>
  <si>
    <t xml:space="preserve">Die aannames wat gemaak is standaard aannames. Die verskil in jaarlikse gebruik en leeftyd het groot effek op koste berekeninge. </t>
  </si>
  <si>
    <t>Van die berekeninge wat ons tans doen:</t>
  </si>
  <si>
    <t>Koste van self-aangedrewe masjinerie</t>
  </si>
  <si>
    <t>Koste van bakkies en vragmotors</t>
  </si>
  <si>
    <t>Koste van veldaksies : bereken koste na per hektaar (R/ha)</t>
  </si>
  <si>
    <t>Koste om strooi, hooi en kuilvoer te baal</t>
  </si>
  <si>
    <t>Koste van vervoer</t>
  </si>
  <si>
    <t>Kontak ons gerus vir meer informasie of vir hulp met berekeninge.</t>
  </si>
  <si>
    <t xml:space="preserve">Die pryse wat deurgegee word dien slegs as riglyn en aanpassings sal gemaak moet word indien die aankoopprys van die gebruiker se huidige omstandighede verskil. </t>
  </si>
  <si>
    <t>Waterkar - 3000 L</t>
  </si>
  <si>
    <t>Waterkar - 5000 L</t>
  </si>
  <si>
    <t>Diesel prys (gebruik) =</t>
  </si>
  <si>
    <t>PLANTERS EN SAAIMASJIENE</t>
  </si>
  <si>
    <t>ENKEL DRYF-AS / SINGLE DIFFERENTIAL</t>
  </si>
  <si>
    <t>DUBBEL DRYF-AS / DOUBLE DIFFERENTIAL</t>
  </si>
  <si>
    <t>DUBBEL DRYF-PERD / DOUBLE DIFFERENTIAL HORSE</t>
  </si>
  <si>
    <t>SWAARDIENS KLUITROLLER / ROLMOER</t>
  </si>
  <si>
    <t>3-PUNT - ENKELSKYF</t>
  </si>
  <si>
    <t>3-PUNT - DUBBELSKYF</t>
  </si>
  <si>
    <t>RONDE BALERS</t>
  </si>
  <si>
    <t>LAAIGRAWE</t>
  </si>
  <si>
    <t>CLAAS 480 TUCANO</t>
  </si>
  <si>
    <t>CLAAS 320 TUCANO</t>
  </si>
  <si>
    <t>MINIMUM TILL SMALL GRAIN SEED DRILLS</t>
  </si>
  <si>
    <t>Hammermeul : Klein (PTO)</t>
  </si>
  <si>
    <t>Hammermeul : Medium (PTO)</t>
  </si>
  <si>
    <t>Hammermeul : Groot (PTO)</t>
  </si>
  <si>
    <t>Hammermeul : Sleep</t>
  </si>
  <si>
    <t>Hammermeul : Sleep met inname meganismes</t>
  </si>
  <si>
    <t>TIP WAENS LAE SPOED</t>
  </si>
  <si>
    <t>VIER WIEL SLEEPWAENS</t>
  </si>
  <si>
    <t>KUILVOER AFTAPKAR</t>
  </si>
  <si>
    <t>Ronde en vierkant baal hanteerder</t>
  </si>
  <si>
    <t>JD S660</t>
  </si>
  <si>
    <t>CLAAS 770 LEXION</t>
  </si>
  <si>
    <t>STOOTSKRAPERS</t>
  </si>
  <si>
    <t>Renoster-Laaigraaf (92kW)</t>
  </si>
  <si>
    <t>CAT 422F-slootgrawer (65kw)</t>
  </si>
  <si>
    <t>CAT 422F-slootgrawer (71kw)</t>
  </si>
  <si>
    <t>Nota:</t>
  </si>
  <si>
    <t>Werktempo Riglyne</t>
  </si>
  <si>
    <t>60 - 100</t>
  </si>
  <si>
    <t>75- 115</t>
  </si>
  <si>
    <t>100 - 115</t>
  </si>
  <si>
    <t>100 - 150</t>
  </si>
  <si>
    <t>60 - 70</t>
  </si>
  <si>
    <t>60-90</t>
  </si>
  <si>
    <t>37-60</t>
  </si>
  <si>
    <t>45-75</t>
  </si>
  <si>
    <t>75-112</t>
  </si>
  <si>
    <t>&gt;112</t>
  </si>
  <si>
    <t>(15kw/m)?</t>
  </si>
  <si>
    <t>(toedraai : 12 bale/uur en wors : 70 bale/uur)</t>
  </si>
  <si>
    <t>(25kw/m)??</t>
  </si>
  <si>
    <t>Brand-stof</t>
  </si>
  <si>
    <t>xxx</t>
  </si>
  <si>
    <t>IMPLEMENT KOSTE</t>
  </si>
  <si>
    <t>KONTRA-SNYEG</t>
  </si>
  <si>
    <t>OFFSET-DISC HARROWS</t>
  </si>
  <si>
    <t>(3.5kw/skottel)</t>
  </si>
  <si>
    <t>70 - 80</t>
  </si>
  <si>
    <t>80 - 90</t>
  </si>
  <si>
    <t>120 - 135</t>
  </si>
  <si>
    <t>50 - 60</t>
  </si>
  <si>
    <t>90 - 100</t>
  </si>
  <si>
    <t>135 - 150</t>
  </si>
  <si>
    <t>150 - 170</t>
  </si>
  <si>
    <t>170 - 185</t>
  </si>
  <si>
    <t xml:space="preserve"> INHOUD</t>
  </si>
  <si>
    <t>SPESIFIEK TOT IMPLEMENTE</t>
  </si>
  <si>
    <t>Koste van trekker met implement</t>
  </si>
  <si>
    <t>(Aankoopprys + Skrootwaarde) ÷ 2</t>
  </si>
  <si>
    <t>(Aankoopprys - Skrootwaarde) ÷ Leeftyd in ure</t>
  </si>
  <si>
    <t>Brandstofverbruik x Brandstofprys</t>
  </si>
  <si>
    <t>HANDICULT EN FIELDSPAN</t>
  </si>
  <si>
    <t>Die Handicult en Fieldspan gebruik dieselfde tande vir bewerkings.</t>
  </si>
  <si>
    <t>Maksimum werkdiepte : 150mm</t>
  </si>
  <si>
    <t>Tandspasiëring : 150mm</t>
  </si>
  <si>
    <t>Maksimum werkdiepte : 175mm</t>
  </si>
  <si>
    <t>TRASH HANDICULT, TRASH FIELDSPAN, SCARRIFIER</t>
  </si>
  <si>
    <t>Die Trash Handicult, Trash Fieldspan en Scarrifier gebruik dieselfde tande vir bewerkings.</t>
  </si>
  <si>
    <t>Krag benodig: 8 - 10 kW per tand</t>
  </si>
  <si>
    <t>Krag benodig: 18 - 20 kW per tand</t>
  </si>
  <si>
    <t>Maksimum werkdiepte : 300mm</t>
  </si>
  <si>
    <t>Maksimum werkdiepte : 475mm</t>
  </si>
  <si>
    <t>Skeurploeë sluit Super 19 en DLB 19 implemente in.</t>
  </si>
  <si>
    <t>3-PUNT HANDICULT (S-TAND)</t>
  </si>
  <si>
    <t>SLEEP FIELDSPAN (S-TAND)</t>
  </si>
  <si>
    <t>SKAARPLOEG</t>
  </si>
  <si>
    <t>VINGER EGGIES EN SAADBEDROLLERS</t>
  </si>
  <si>
    <t>HOOIHARKE EN SKUDDERS</t>
  </si>
  <si>
    <t>Vertikale Voermenger : 18m³, Dubbel uitlaai</t>
  </si>
  <si>
    <t>Vertikale Voermenger : 6m³, Enkel uitlaai</t>
  </si>
  <si>
    <t>Vertikale Voermenger : 12m³, Enkel uitlaai</t>
  </si>
  <si>
    <t>Ronde Baal Wrapper : Sleepmodel</t>
  </si>
  <si>
    <t>Ronde Baal Wrapper : Gemonteer</t>
  </si>
  <si>
    <t>RIPPERS</t>
  </si>
  <si>
    <t>DEEP RIPPER</t>
  </si>
  <si>
    <t>(6kw/skottel)</t>
  </si>
  <si>
    <t>VRAGMOTORS / LORRIES</t>
  </si>
  <si>
    <t>KLEIN VIERKANT BALERS</t>
  </si>
  <si>
    <t>GROOT VIERKANT BALERS / BIG PACK</t>
  </si>
  <si>
    <t>STROOIERS</t>
  </si>
  <si>
    <t>Brandstof gebruik volgens drywingsvereiste = % van kW gebruik x liter gebruik per kW uur</t>
  </si>
  <si>
    <t>liter per kW-uur =</t>
  </si>
  <si>
    <t>liter per kW-uur</t>
  </si>
  <si>
    <t>Kostes sluit nie arbeid of winsmarges in nie.</t>
  </si>
  <si>
    <t>ENKEL DRYF-AS MET SEMI-SLEEPWA / SINGLE DIFFERENTIAL WITH SEMI-TRAILER</t>
  </si>
  <si>
    <t>Maksimum werkdiepte : 650mm</t>
  </si>
  <si>
    <t>Krag benodig per tand : ±30 kW</t>
  </si>
  <si>
    <t>Skeurploeë se tandspasiëring kan wissel tussen 300 en 450mm. Koste vir skeurploeë met dieselfde aantal tande kos min of meer dieselfde.</t>
  </si>
  <si>
    <t>Snyer-kneuser - 16 vt tafel - 4.88m</t>
  </si>
  <si>
    <t>MASJIEN</t>
  </si>
  <si>
    <t>Koste (R/Ha): Droog</t>
  </si>
  <si>
    <t>Koste (R/Ha) : Totaal</t>
  </si>
  <si>
    <t>125-160</t>
  </si>
  <si>
    <t>(4kw/m)??</t>
  </si>
  <si>
    <t>Km/Liter</t>
  </si>
  <si>
    <t>Brandstof verbruik</t>
  </si>
  <si>
    <t>Waarde-vermind.</t>
  </si>
  <si>
    <t>Herstel &amp; onderh.</t>
  </si>
  <si>
    <t>MODEL OF 
BESKRYWING</t>
  </si>
  <si>
    <t>5.0 ton vragmotor</t>
  </si>
  <si>
    <t>10.0 ton vragmotor</t>
  </si>
  <si>
    <t xml:space="preserve"> BAKKIES EN VRAGMOTORS</t>
  </si>
  <si>
    <t>SELF-AANGEDREWE STROPERS</t>
  </si>
  <si>
    <t>ure vir alle trekkers</t>
  </si>
  <si>
    <t>18.0 ton vragmotor + wa</t>
  </si>
  <si>
    <t>L/100km</t>
  </si>
  <si>
    <t>Saamgesit en versprei deur:</t>
  </si>
  <si>
    <t>Spesiale erkenning word ook gegee aan die volgende persone vir hul insette en bydraes:</t>
  </si>
  <si>
    <t>Charl van Rooyen. Weskaap Departement van Landbou (WKDL).</t>
  </si>
  <si>
    <t xml:space="preserve">, 1 kW = </t>
  </si>
  <si>
    <t xml:space="preserve">, 1 meter = </t>
  </si>
  <si>
    <t>voet</t>
  </si>
  <si>
    <t>kiloWatt</t>
  </si>
  <si>
    <t>meter deursnee baal het 'n omtrek van =</t>
  </si>
  <si>
    <t>SPESIFIEK TOT BAKKIES &amp; VRAGMOTORS</t>
  </si>
  <si>
    <t>Spesifiek tot bakkies en vragmotors</t>
  </si>
  <si>
    <t>Spesifiek tot vragmotors alleenlik</t>
  </si>
  <si>
    <t>Implemente gemerk met *** word nie meer gemaak nie, en die koste van vervanging is gebruik as aankoopprys.</t>
  </si>
  <si>
    <t xml:space="preserve">Gemiddelde belegging (R)  = </t>
  </si>
  <si>
    <t xml:space="preserve">Skrootwaarde (R) = </t>
  </si>
  <si>
    <t xml:space="preserve">Bandkoste per kilometer = </t>
  </si>
  <si>
    <t xml:space="preserve">Olie verbruik vir bakkies en vragmotors = </t>
  </si>
  <si>
    <t xml:space="preserve">Gebeurlikheidsfaktor % vir bakkies en vragmotors = </t>
  </si>
  <si>
    <t>Die omtrek van 'n ronde baal kan soos volg bereken word: Omtrek = 2 x π x radius =  π x deursnee (π = 3.1416)</t>
  </si>
  <si>
    <t>Basiese omskakelingsfaktore :</t>
  </si>
  <si>
    <t>R/Uur</t>
  </si>
  <si>
    <t>Waardevermindering (R/Uur) = (Aankoopprys - Skrootwaarde) ÷ Leeftyd in ure</t>
  </si>
  <si>
    <t xml:space="preserve">Rente (R/Uur) = </t>
  </si>
  <si>
    <t xml:space="preserve">Versekering en lisensie (R/Uur) = </t>
  </si>
  <si>
    <t>Herstel &amp; onderhoud (R/Uur) =</t>
  </si>
  <si>
    <t xml:space="preserve">Waardevermindering (R/Uur) = </t>
  </si>
  <si>
    <t xml:space="preserve">Brandstofkoste (R/Uur) = </t>
  </si>
  <si>
    <t>Veranderlik (R/Uur)</t>
  </si>
  <si>
    <t>Vaste (R/Uur)</t>
  </si>
  <si>
    <t>Totaal (R/Uur)</t>
  </si>
  <si>
    <t>Koste (R/Uur) : Droog</t>
  </si>
  <si>
    <t>Koste (R/Uur) : Totaal</t>
  </si>
  <si>
    <t>Brandstof koste (R/Uur)</t>
  </si>
  <si>
    <t>Herstel &amp; Ondrh. (R/Uur)</t>
  </si>
  <si>
    <t>Alle ander (R/Uur)</t>
  </si>
  <si>
    <t>Totaal Verandrlik (R/Uur)</t>
  </si>
  <si>
    <t>Waarde- vermindr (R/Uur)</t>
  </si>
  <si>
    <t>Verseker &amp; lisensie (R/Uur)</t>
  </si>
  <si>
    <t>Rente 
(R/Uur)</t>
  </si>
  <si>
    <t>Totaal Vaste (R/Uur)</t>
  </si>
  <si>
    <t>Totale Koste (R/Uur)</t>
  </si>
  <si>
    <t>Totale (R/Uur)</t>
  </si>
  <si>
    <t>Werktempo (Ha/Uur) =</t>
  </si>
  <si>
    <t>1   ÷   Werktempo (Ha/Uur)</t>
  </si>
  <si>
    <t>Lt/Uur</t>
  </si>
  <si>
    <t>Werk spoed (Km/Uur)</t>
  </si>
  <si>
    <t>Tempo (Ha/Uur)</t>
  </si>
  <si>
    <t>Brandstof gebruik (Lt/Uur)</t>
  </si>
  <si>
    <t>Gem. spoed (Km/Uur)</t>
  </si>
  <si>
    <t>BASIESE AANNAMES EN FORMULES VAN BEREKENING</t>
  </si>
  <si>
    <t>Die volgende aannames vir koste berekening geld vir alle masjinerie.</t>
  </si>
  <si>
    <t>Spesifiek tot implemente</t>
  </si>
  <si>
    <t>GEBRUIK VIR ALLE MASJINERIE</t>
  </si>
  <si>
    <t>Formules vir koste berekeninge. Vir bakkies en vragmotors word kilometer (km) in plaas van uur gebruik.</t>
  </si>
  <si>
    <t>3000+ CC Bakkies</t>
  </si>
  <si>
    <t>INLEIDING</t>
  </si>
  <si>
    <t>AANNAMES VIR MASJINERIEKOSTE</t>
  </si>
  <si>
    <t>HIERDIE IS DIE ELEKTRONIESE WEERGAWE VAN DIE GIDS.</t>
  </si>
  <si>
    <t>VERWYS NA DIE GEPUBLISEERDE GIDS VIR DIE VOLLEDIGE VOORWOORD EN INLEIDING</t>
  </si>
  <si>
    <t>Koste (R/Ton.Km): Droog</t>
  </si>
  <si>
    <t>Koste (R/Ton.Km): Totaal</t>
  </si>
  <si>
    <t>Brandstof gebruik (Lt/Ton.Km)</t>
  </si>
  <si>
    <t>Brandstof koste (R/Ton.Km)</t>
  </si>
  <si>
    <t>Herstel &amp; Ondrh. (R/Ton.Km)</t>
  </si>
  <si>
    <t>Alle ander (R/Ton.Km)</t>
  </si>
  <si>
    <t>Totaal Verandrlik (R/Ton.Km)</t>
  </si>
  <si>
    <t>Waarde- vermindr (R/Ton.Km)</t>
  </si>
  <si>
    <t>Verseker &amp; lisensie (R/Ton.Km)</t>
  </si>
  <si>
    <t>Rente 
(R/Ton.Km)</t>
  </si>
  <si>
    <t>Totaal Vaste (R/Ton.Km)</t>
  </si>
  <si>
    <t>Totale Koste (R/Ton.Km)</t>
  </si>
  <si>
    <t>KOSTE PER TON.KM (R/TON.KM) : TREKKER MET SLEEPWA</t>
  </si>
  <si>
    <t>R/TON.KM</t>
  </si>
  <si>
    <t>Effektiewe Spoed (Km/Uur)</t>
  </si>
  <si>
    <t>Koste (R/Km): Droog</t>
  </si>
  <si>
    <t>Koste (R/Km): Totaal</t>
  </si>
  <si>
    <t>Implement beskrywing</t>
  </si>
  <si>
    <t>Implement kode</t>
  </si>
  <si>
    <t>TREKKER MET IMPLEMENT : VELDAKSIE</t>
  </si>
  <si>
    <t>Eenheid</t>
  </si>
  <si>
    <t>Tempo (Hoeveel /Uur)</t>
  </si>
  <si>
    <t>R/EENHEID</t>
  </si>
  <si>
    <t>KOSTE PER EENHEID (R/ITEM) : TREKKER MET IMPLEMENT</t>
  </si>
  <si>
    <t>KOSTE PER HEKTAAR (R/HA) : TREKKER MET IMPLEMENT</t>
  </si>
  <si>
    <t>Koste (R/Item): Droog</t>
  </si>
  <si>
    <t>Koste (R/Item) : Totaal</t>
  </si>
  <si>
    <t>Brandstof gebruik (Lt/Item)</t>
  </si>
  <si>
    <t>Brandstof koste (R/Item)</t>
  </si>
  <si>
    <t>Herstel &amp; Ondrh. (R/Item)</t>
  </si>
  <si>
    <t>Alle ander (R/Item)</t>
  </si>
  <si>
    <t>Totaal Verandrlik (R/Item)</t>
  </si>
  <si>
    <t>Waarde- vermindr (R/Item)</t>
  </si>
  <si>
    <t>Verseker &amp; lisensie (R/Item)</t>
  </si>
  <si>
    <t>Rente 
(R/Item)</t>
  </si>
  <si>
    <t>Totaal Vaste (R/Item)</t>
  </si>
  <si>
    <t>Totale Koste (R/Item)</t>
  </si>
  <si>
    <t>CLAAS MEGA 204</t>
  </si>
  <si>
    <t xml:space="preserve">Herstel &amp; Onderhoud (R/Uur) = </t>
  </si>
  <si>
    <t>BAKKIE / VRAGMOTOR</t>
  </si>
  <si>
    <t>VERVOER : BAKKIES EN VRAGMOTORS MET OF SONDER SLEEPWAENS</t>
  </si>
  <si>
    <t>KOSTE PER TON.KM (R/TON.KM) : BAKKIES EN VRAGMOTORS MET SLEEPWAENS</t>
  </si>
  <si>
    <t>BAKKIE / VRAGMOTOR KOSTE</t>
  </si>
  <si>
    <t>Veranderlike koste</t>
  </si>
  <si>
    <t>% van die veranderlike koste</t>
  </si>
  <si>
    <t>% van die veranderlike koste.</t>
  </si>
  <si>
    <t>Masjinerie wat nie meer vervaardig word nie word met *** aangedui. Vir hierdie masjinerie word 'n aangepaste prys gebruik.</t>
  </si>
  <si>
    <t>% van brandstof-verbruik vir vragmotors van 5 ton en kleiner</t>
  </si>
  <si>
    <t>% van brandstof-verbruik vir vragmotors van 6 ton en groter</t>
  </si>
  <si>
    <t>BEITELPLOEG / DLB12 / BLANTON</t>
  </si>
  <si>
    <t>DLB 12 CHISEL PLOUGH</t>
  </si>
  <si>
    <t xml:space="preserve">MINIMUM BEWERKING KLEINGRAAN GRAVITASIE PLANTERS </t>
  </si>
  <si>
    <t>Aankooppryse (R) van masjinerie en enige ander pryse sluit nie BTW in nie, tensy andersins gespesifiseer.</t>
  </si>
  <si>
    <t>% van brandstof verbruik</t>
  </si>
  <si>
    <t>(Dieselprys na korting/rabat word as standaard gebruik)</t>
  </si>
  <si>
    <t>Ons sal hier 'n verandering aan die Leeftyd ure en jaarlikse gebruik ure moet aanbring by trekkers 150kW en hoër) (Ek gebruik tans 500 ure as gemiddelde jaarlikse gebruik, maar nie die leeftyd van 12000 verander nie.</t>
  </si>
  <si>
    <t>Die leeftyd is dan te lank (24jaar). My gevoel is dat die leeftyd verander moet word na 7500 ure. Ons sal miskien moet bespreek. Ek wag ook nog vir inligting vanaf boere omtrent leeftyd van groter trekkers</t>
  </si>
  <si>
    <t>Macdon M150 (101kW/135pK)</t>
  </si>
  <si>
    <t>Macdon M155 (110kW/148pK)</t>
  </si>
  <si>
    <t>Totaal 
(R/Uur)</t>
  </si>
  <si>
    <t>TREKKER EN IMPLEMENT : AKSIES PER ITEM</t>
  </si>
  <si>
    <t>Jaarlikse Gebruik</t>
  </si>
  <si>
    <t>&lt; 150 kW</t>
  </si>
  <si>
    <t>&gt;= 150 kW</t>
  </si>
  <si>
    <t>Leeftyd en jaarlikse gebruik van trekkers</t>
  </si>
  <si>
    <t>Engin grootte :</t>
  </si>
  <si>
    <t>&lt; 200 pK</t>
  </si>
  <si>
    <t>&gt;= 200 pK</t>
  </si>
  <si>
    <t>3-PUNT MET OPTEL-BEHEER</t>
  </si>
  <si>
    <t>Bv. Gyrorake, Haybob</t>
  </si>
  <si>
    <t>SLEEP, SPOED-HARKE, V-TIPE</t>
  </si>
  <si>
    <t xml:space="preserve">VINGER-WIEL HOOIHARKE </t>
  </si>
  <si>
    <t>Rondebaler 1.25m Deursnee - 1.40m Optel (Tou)</t>
  </si>
  <si>
    <t>Rondebaler 1.25m Deursnee - 1.95m Optel (Tou of Net)</t>
  </si>
  <si>
    <t>Rondebaler 1.55m Deursnee - 1.95m Optel (Tou of Net)</t>
  </si>
  <si>
    <t>Die omtrek van 'n ronde baal kan soos volg bereken word. Omtrek = 2 x π x radius =  π x deursnee (π = 3.14)</t>
  </si>
  <si>
    <t>Horisontale Voermenger : 7m³ (2.45t) (met skaal)</t>
  </si>
  <si>
    <t>MIS EN SLYKSTROOIERS</t>
  </si>
  <si>
    <t>MANURE &amp; SLURRY SPREADERS</t>
  </si>
  <si>
    <t>1.25M BAAL DEURSNEE</t>
  </si>
  <si>
    <t>1.55M BAAL DEURSNEE</t>
  </si>
  <si>
    <t>KALKSTROOIER</t>
  </si>
  <si>
    <t>Strooier : Dubbelskyf, Boordmodel, 2000L, 3ton</t>
  </si>
  <si>
    <t>Strooier : Dubbelskyf, Kalk en Korrel kunsmis, 3000L, 5ton</t>
  </si>
  <si>
    <t>Strooier : Dubbelskyf, Kalk en Korrel kunsmis, 4500L, 8ton</t>
  </si>
  <si>
    <t>GESLEEP - DUBBELSKYF</t>
  </si>
  <si>
    <t>Balkspuit : 400-800L, 7m, 3-punt</t>
  </si>
  <si>
    <t>Balkspuit : 400-800L, 10m, 3-punt</t>
  </si>
  <si>
    <t>Balkspuit : 400-800L, 12m, 3-punt</t>
  </si>
  <si>
    <t>Balkspuit : 400-800L, 15m, 3-punt</t>
  </si>
  <si>
    <t>3- PUNT</t>
  </si>
  <si>
    <t>Balkspuit : 1000-1500L, 12m, 3-punt</t>
  </si>
  <si>
    <t>Balkspuit : 1000-1500L, 15m, 3-punt</t>
  </si>
  <si>
    <t>Balkspuit : 1000-1500L, 18m, 3-punt</t>
  </si>
  <si>
    <t>Balkspuit : 3200L, 18m, Sleep</t>
  </si>
  <si>
    <t>Balkspuit : 3200L, 20m, Sleep</t>
  </si>
  <si>
    <t>Balkspuit : 5600L, 30m, Sleep</t>
  </si>
  <si>
    <t>Balkspuit : 5600L, 36m, Sleep</t>
  </si>
  <si>
    <t>Balkspuit : 3200L, 24m, Sleep</t>
  </si>
  <si>
    <t>Balkspuit : 4500L, 30m, Sleep</t>
  </si>
  <si>
    <t>Balkspuit : 4500L, 36m, Sleep</t>
  </si>
  <si>
    <t>Kousbalkspuit: 2000L, 16m, Sleep</t>
  </si>
  <si>
    <t>Kousbalkspuit: 2000L, 18m, Sleep</t>
  </si>
  <si>
    <t>Trash Handicult : 13tand, 2.9m, 3-punt, HD 'S' Tand</t>
  </si>
  <si>
    <t>Trash Handicult : 23tand, 5.2m, 3-punt, HD 'S' Tand</t>
  </si>
  <si>
    <t>Trash Handicult : 31tand, 7.0m, 3-punt, HD 'S' Tand, vouvlerke</t>
  </si>
  <si>
    <t>Trash Handicult : 23tand, 5.2m, 3-punt, 590 Dubbelveer Tand</t>
  </si>
  <si>
    <t>Trash Handicult : 31tand, 7.0m, 3-punt, 590 Dubbelveer Tand, vouvlerke</t>
  </si>
  <si>
    <t>Tandspasiëring : 225mm vir 3-punt, en 150mm vir sleep</t>
  </si>
  <si>
    <t>Trash Fieldspan : 59tand, 8.7m, sleep, 590 Dubbelveer tand</t>
  </si>
  <si>
    <t>Trash Fieldspan : 31tand, 4.6m, sleep, 590 Dubbelveer tand</t>
  </si>
  <si>
    <t>Trash Fieldspan : 41tand, 6.0m, sleep, 590 Dubbelveer tand</t>
  </si>
  <si>
    <t>Trash Fieldspan : 31tand, 4.6m, sleep, HD 'S' Tand</t>
  </si>
  <si>
    <t>Trash Fieldspan : 41tand, 6.0m, sleep, HD 'S' Tand</t>
  </si>
  <si>
    <t>Trash Fieldspan : 59tand, 8.7m, sleep, HD 'S' Tand</t>
  </si>
  <si>
    <t>Omkeerploeg : 3-voor, 2.7m, 3-punt</t>
  </si>
  <si>
    <t>Omkeerploeg : 4-voor, 3.6m, 3-punt</t>
  </si>
  <si>
    <t>Omkeerploeg : 5-voor, 4.5m, 3-punt</t>
  </si>
  <si>
    <t>3-PUNT, BLADVEER HERSET</t>
  </si>
  <si>
    <t>Beitelploeg : 3tand, 0.9m, 3-punt</t>
  </si>
  <si>
    <t>Beitelploeg : 5tand, 1.5m, 3-punt</t>
  </si>
  <si>
    <t>Beitelploeg : 7tand, 2.1m, 3-punt</t>
  </si>
  <si>
    <t>Beitelploeg : 9tand, 2.7m, 3-punt</t>
  </si>
  <si>
    <t>Beitelploeg : 11tand, 3.3m, 3-punt</t>
  </si>
  <si>
    <t>Beitelploeg : 13tand, 3.9m, 3-punt</t>
  </si>
  <si>
    <t>Beitelploeg : 15tand, 4.5m, 3-punt</t>
  </si>
  <si>
    <t>Beitelploeg : 19tand, 5.7m, 3-punt</t>
  </si>
  <si>
    <t>Beitelploeg : 21tand, 6.3m, 3-punt</t>
  </si>
  <si>
    <t>Beitelploeg : 23tand, 6.9m, 3-punt</t>
  </si>
  <si>
    <t>Beitelploeg : 19tand, 5.7m, sleep</t>
  </si>
  <si>
    <t>Beitelploeg : 23tand, 6.9m, sleep</t>
  </si>
  <si>
    <t>Beitelploeg : 25tand, 7.5m, sleep</t>
  </si>
  <si>
    <t>Beitelploeg : 27tand, 8.1m, sleep</t>
  </si>
  <si>
    <t>Slegs die werkwydte verskil tussen implement met verskille tandspasiëring. Werkswydte is volgens 375mm tandspasiëring bereken.</t>
  </si>
  <si>
    <t>Skeurploeg 475mm : 1tand, 0.4m, 3-punt</t>
  </si>
  <si>
    <t>Skeurploeg 475mm : 2tand, 0.8m, 3-punt</t>
  </si>
  <si>
    <t>Skeurploeg 475mm : 3tand, 1.1m, 3-punt</t>
  </si>
  <si>
    <t>Skeurploeg 475mm : 5tand, 1.9m, 3-punt</t>
  </si>
  <si>
    <t>Skeurploeg 475mm : 7tand, 2.6m, 3-punt</t>
  </si>
  <si>
    <t>Skeurploeg 475mm : 9tand, 3.4m, 3-punt</t>
  </si>
  <si>
    <t>Skeurploeg 475mm : 11tand, 4.1m, 3-punt</t>
  </si>
  <si>
    <t>Skeurploeg 475mm : 13tand, 4.9m, 3-punt</t>
  </si>
  <si>
    <t>Skeurploeg 475mm : 15tand, 5.6m, 3-punt, vouvlerke</t>
  </si>
  <si>
    <t>Skeurploeg 475mm : 17tand, 6.4m, 3-punt, vouvlerke</t>
  </si>
  <si>
    <t>Skeurploeg 475mm : 19tand, 7.1m, 3-punt, vouvlerke</t>
  </si>
  <si>
    <t>Skeurploeg 475mm : 5tand, 1.9m, sleep</t>
  </si>
  <si>
    <t>Skeurploeg 475mm : 7tand, 2.6m, sleep</t>
  </si>
  <si>
    <t>Skeurploeg 475mm : 9tand, 3.4m, sleep</t>
  </si>
  <si>
    <t>Skeurploeg 475mm : 11tand, 4.1m, sleep</t>
  </si>
  <si>
    <t>Skeurploeg 475mm : 13tand, 4.9m, sleep</t>
  </si>
  <si>
    <t>Skeurploeg 475mm : 15tand, 5.6m, sleep, vouvlerke</t>
  </si>
  <si>
    <t>Skeurploeg 475mm : 17tand, 6.4m, sleep, vouvlerke</t>
  </si>
  <si>
    <t>Skeurploeg 475mm : 19tand, 7.1m, sleep, vouvlerke</t>
  </si>
  <si>
    <t>Skeurploeg 475mm : 25tand, 9.4m, sleep, vouvlerke</t>
  </si>
  <si>
    <t>Skeurploeg 475mm : 27tand, 10.1m, sleep, vouvlerke</t>
  </si>
  <si>
    <t>3-PUNT, 800MM WERKDIEPTE, 600MM TANDSPASIËRING, ±40 KW BENODIG PER TAND</t>
  </si>
  <si>
    <t>3-PUNT, 650MM WERKDIEPTE, 600MM TANDSPASIËRING, ±30 KW BENODIG PER TAND</t>
  </si>
  <si>
    <t>3-PUNT, 475MM WERKDIEPTE, 375MM TANDSPASIËRING, 18-20 KW BENODIG PER TAND</t>
  </si>
  <si>
    <t>SLEEP, 475MM WERKDIEPTE, 375MM TANDSPASIËRING, 18-20 KW BENODIG PER TAND</t>
  </si>
  <si>
    <t>DIEP EN EKSTRA DIEP SKEURPLOEË</t>
  </si>
  <si>
    <t>SKEURPLOEË</t>
  </si>
  <si>
    <t>Skeurploeg 650mm : 5tand, 3m, 3-punt</t>
  </si>
  <si>
    <t>Skeurploeg 650mm : 7tand, 4.2m, 3-punt</t>
  </si>
  <si>
    <t>Skeurploeg 650mm : 9tand, 5.6m, 3-punt</t>
  </si>
  <si>
    <t>Skeurploeg 650mm : 11tand, 6.6m, 3-punt</t>
  </si>
  <si>
    <t>Skeurploeg 650mm : 13tand, 7.8m, 3-punt</t>
  </si>
  <si>
    <t>Skeurploeg 800mm : 5tand, 3m, 3-punt</t>
  </si>
  <si>
    <t>Skeurploeg 800mm : 7tand, 4.2m, 3-punt</t>
  </si>
  <si>
    <t>Skeurploeg 800mm : 9tand, 5.6m, 3-punt</t>
  </si>
  <si>
    <t>Skeurploeg 800mm : 11tand, 6.6m, 3-punt</t>
  </si>
  <si>
    <t>Skeurploeg 800mm : 13tand, 7.8m, 3-punt</t>
  </si>
  <si>
    <t>Vinger Eggie : 1.38m</t>
  </si>
  <si>
    <t>Vinger Eggie : 1.83m</t>
  </si>
  <si>
    <t>Vir aangehegsels op grondbewerking-implemente.</t>
  </si>
  <si>
    <t>Saadbedroller : 0.9m, Medium diens</t>
  </si>
  <si>
    <t>Saadbedroller : 1.2m, Medium diens</t>
  </si>
  <si>
    <t>Vir aangehegsels op grondbewerking-implemente. Kan slegs op sleepmodelle gebruik word.</t>
  </si>
  <si>
    <t>Swaardiens Kluitroller : 1.2m</t>
  </si>
  <si>
    <t>Swaardiens Kluitroller : 1.7m</t>
  </si>
  <si>
    <t>Swaardiens Kluitroller : 2.2m</t>
  </si>
  <si>
    <t>MINIMUM BEWERKING KLEINGRAAN LUGDRUK PLANTERS</t>
  </si>
  <si>
    <t>Laaigraaf, Vasbout, Swaardiens (± 40kw - 60kw)</t>
  </si>
  <si>
    <t>Laaigraaf, Vasbout, Ekstra Swaardiens (± 60kw - 90kw)</t>
  </si>
  <si>
    <t>Laaigraaf, Inry, Swaardiens (± 40kw - 60kw)</t>
  </si>
  <si>
    <t>Laaigraaf, Inry, Ekstra Swaardiens (± 60kw - 90kw)</t>
  </si>
  <si>
    <t>Massasak-hanteerder</t>
  </si>
  <si>
    <t>Hooivurk, 2.4m wyd</t>
  </si>
  <si>
    <t>Stootskraperlem, 1.8m wyd</t>
  </si>
  <si>
    <t>Laaigraaf, Parallelleskakel met 540L bak</t>
  </si>
  <si>
    <t>Laaigraaf, Parallelleskakel met 650L bak</t>
  </si>
  <si>
    <t>Laaigraaf, Parallelleskakel met 720L bak</t>
  </si>
  <si>
    <t>Laaigraaf, Parallelleskakel met 820L bak</t>
  </si>
  <si>
    <t>LAAIGRAAF AANHEGSTUKKE</t>
  </si>
  <si>
    <t>PARALLELLESKAKEL LAAIGRAWE</t>
  </si>
  <si>
    <t>Massawa, 27m³ / 21ton, hidroliese sy-tip</t>
  </si>
  <si>
    <t>Massawa, 21m³ / 16ton, hidroliese sy-tip</t>
  </si>
  <si>
    <t>Swaailemsnyer : 1.2m, 4-lem, Ligte diens</t>
  </si>
  <si>
    <t>Swaailemsnyer : 0.9m, 3-lem, Ligte diens</t>
  </si>
  <si>
    <t>Swaailemsnyer : 1.2m, 4-lem, Medium diens</t>
  </si>
  <si>
    <t>Swaailemsnyer : 1.5m, 4-lem, Medium diens</t>
  </si>
  <si>
    <t>Swaailemsnyer : 1.2m, 4-lem, Swaar diens</t>
  </si>
  <si>
    <t>Swaailemsnyer : 3m, 4-lem Swaar diens</t>
  </si>
  <si>
    <t>Swaailemsnyer : 2m, 2 of 4-lem, Ekstra Swaar diens</t>
  </si>
  <si>
    <t>Swaailemsnyer : 1.5m, 2- of 4-lem, Swaar diens</t>
  </si>
  <si>
    <t>Swaailemsnyer : 1.8m, 2- of 4-lem, Swaar diens</t>
  </si>
  <si>
    <t>Swaailemsnyer : 1.5m, 2- of 4-lem, Ekstra Swaar diens</t>
  </si>
  <si>
    <t>Swaailemsnyer : 1.8m, 2- of 4-lem, Ekstra Swaar diens</t>
  </si>
  <si>
    <t>Kalkstrooier : 400L, 2.4m, 3-punt</t>
  </si>
  <si>
    <t>Kalkstrooier : 500L, 3.0m, sleep</t>
  </si>
  <si>
    <t>Skaarploeg : 3-voor, 14”, 1.05m</t>
  </si>
  <si>
    <t>Skaarploeg : 3-voor, 16”, 1.20m</t>
  </si>
  <si>
    <t>Skaarploeg : 2-voor, 14”, 0.70m</t>
  </si>
  <si>
    <t>Strooier : Dubbelskyf, 500L, 10-18m, 3-punt</t>
  </si>
  <si>
    <t>Strooier : Dubbelskyf, 600L, 10-18m, 3-punt</t>
  </si>
  <si>
    <t>Strooier : Dubbelskyf, 900L, 10-18m, 3-punt</t>
  </si>
  <si>
    <t>Strooier : Dubbelskyf, 1000L, 10-36m, 3-punt</t>
  </si>
  <si>
    <t>Strooier : Dubbelskyf, 1500L, 10-36m, 3-punt</t>
  </si>
  <si>
    <t>Strooier : Dubbelskyf, 1500L, 10-36m, 3-punt, spoedbeheer</t>
  </si>
  <si>
    <t>Strooier : Dubbelskyf, 3000L, 15-48m, 3-punt</t>
  </si>
  <si>
    <t>Strooier : Dubbelskyf, 4200L, 15-48m, 3-punt, spoedbeheer</t>
  </si>
  <si>
    <t>Platsnyer : 15 voet, 4.57m</t>
  </si>
  <si>
    <t>Platsnyer : 21 voet, 6.40m</t>
  </si>
  <si>
    <t>Platsnyer : 25 voet, 7.62m</t>
  </si>
  <si>
    <t>Platsnyer : 30 voet, 9.14m</t>
  </si>
  <si>
    <t>Platsnyer : 36 voet, 10.97m</t>
  </si>
  <si>
    <t>Platsnyer : 18 voet, 5.49m</t>
  </si>
  <si>
    <t>MASSAWAENS</t>
  </si>
  <si>
    <t>Handicult : 19 tand, 2.9m, 3-punt, 'S'-tand</t>
  </si>
  <si>
    <t>Handicult : 23 tand, 3.5m, 3-punt, 'S'-tand</t>
  </si>
  <si>
    <t>Handicult : 31 tand, 4.7m, 3-punt, 'S'-tand</t>
  </si>
  <si>
    <t>Fieldspan : 33 tand, 5.1m, sleep, 'S'-tand</t>
  </si>
  <si>
    <t>Fieldspan : 41 tand, 6.1m, sleep, 'S'-tand</t>
  </si>
  <si>
    <t>Fieldspan : 49 tand, 7.5m, sleep, 'S'-tand</t>
  </si>
  <si>
    <t>Fieldspan : 61 tand, 9.3m, sleep, 'S'-tand</t>
  </si>
  <si>
    <t>Fieldspan : 73 tand, 11.2m, sleep, 'S'-tand</t>
  </si>
  <si>
    <t>Kontra-Snyeg : 14skottel, 1.6m, sleep</t>
  </si>
  <si>
    <t>Kontra-Snyeg : 16skottel, 1.8m, sleep</t>
  </si>
  <si>
    <t>Kontra-Snyeg : 18skottel, 2m, sleep</t>
  </si>
  <si>
    <t>Kontra-Snyeg : 22skottel, 2.3m, sleep</t>
  </si>
  <si>
    <t>Kontra-Snyeg : 26skottel, 2.75m, sleep</t>
  </si>
  <si>
    <t>Kontra-Snyeg : 30skottel, 3.05m, sleep</t>
  </si>
  <si>
    <t>Kontra-Snyeg : 36skottel, 3.67m, sleep</t>
  </si>
  <si>
    <t>Kontra-Snyeg : 42skottel, 4.27m, sleep</t>
  </si>
  <si>
    <t>Strooier : Dubbelskyf, Boordmodel, 500L, maks 18m, 3-punt</t>
  </si>
  <si>
    <t>Strooier : Enkelskyf, 360L, maks 12m</t>
  </si>
  <si>
    <t>Droë mis en kalk strooier: 12300L, Draaiskyf, 15m, Sleep</t>
  </si>
  <si>
    <t>Mis en Slykstrooier: 3300L, Syaflaai, Boordmodel, Sleep</t>
  </si>
  <si>
    <t>Mis en Slykstrooier: 6100L, Syaflaai, Horisontaal, Sleep</t>
  </si>
  <si>
    <t>Mis en Slykstrooier: 12300L, Syaflaai, Vertikaal, Sleep, 7.6-9.1m</t>
  </si>
  <si>
    <t>Lugdruk Planter : 15t x 285mm, 4.3m</t>
  </si>
  <si>
    <t>Lugdruk Planter : 17t x 285mm, 4.8m</t>
  </si>
  <si>
    <t>Lugdruk Planter : 19t x 285mm, 5.4m</t>
  </si>
  <si>
    <t>Lugdruk Planter : 21t x 285mm, 6.0m</t>
  </si>
  <si>
    <t>Lugdruk Planter : 23t x 285mm, 6.5m</t>
  </si>
  <si>
    <t>Lugdruk Planter : 25t x 285mm, 7.0m</t>
  </si>
  <si>
    <t>Lugdruk Planter : 27t x 285mm, 7.7m</t>
  </si>
  <si>
    <t>Lugdruk Planter : 29t x 285mm, 8.3m</t>
  </si>
  <si>
    <t>Lugdruk Planter : 31t x 285mm, 8.8m</t>
  </si>
  <si>
    <t>Lugdruk Planter : 33t x 285mm, 9.4m</t>
  </si>
  <si>
    <t>Lugdruk Planter : 35t x 285mm, 10.0m</t>
  </si>
  <si>
    <t>Lugdruk Planter : 37t x 285mm, 10.5m</t>
  </si>
  <si>
    <t>Lugdruk Planter : 39t x 285mm, 11.1m</t>
  </si>
  <si>
    <t>Lugdruk Planter : 41t x 285mm, 11.7m</t>
  </si>
  <si>
    <t>Lugdruk Planter : 43t x 285mm, 12.3m</t>
  </si>
  <si>
    <t>Lugdruk Planter : 45t x 285mm, 12.8m</t>
  </si>
  <si>
    <t>Lugdruk Planter : 47t x 285mm, 13.4m</t>
  </si>
  <si>
    <t>Lugdruk Planter : 49t x 285mm, 14.0m</t>
  </si>
  <si>
    <t>Lugdruk Planter : 51t x 285mm, 14.5m</t>
  </si>
  <si>
    <t>Lugdruk Planter : 53t x 285mm, 15.1m</t>
  </si>
  <si>
    <t>Lugdruk Planter : 55t x 285mm, 15.7m</t>
  </si>
  <si>
    <t>Lugdruk Planter : 57t x 285mm, 16.2m</t>
  </si>
  <si>
    <t>Lugdruk Planter : 59t x 285mm, 16.8m</t>
  </si>
  <si>
    <t>Skyfsnymasjien: 4-skyf, 1.6m, 3-punt</t>
  </si>
  <si>
    <t>Skyfsnymasjien: 5-skyf, 2.0m, 3-punt</t>
  </si>
  <si>
    <t>Skyfsnymasjien: 6-skyf, 2.4m , 3-punt</t>
  </si>
  <si>
    <t>Skyfsnymasjien: 7-skyf, 2.8m , 3-punt</t>
  </si>
  <si>
    <t>Skyfsnymasjien: 8-skyf, 3.2m , 3-punt</t>
  </si>
  <si>
    <t>Skyfsnymasjien: 6-skyf, 2.67m , 3-punt met optel-beheer</t>
  </si>
  <si>
    <t>Skyfsnymasjien: 7-skyf, 3.10m , 3-punt met optel-beheer</t>
  </si>
  <si>
    <t>Skyfsnymasjien: 7-skyf, 3.1m , sleep</t>
  </si>
  <si>
    <t>Skyfsnymasjien: 8-skyf, 3.5m , sleep</t>
  </si>
  <si>
    <t>Skyfsnymasjien: 9-skyf, 4.0m , sleep</t>
  </si>
  <si>
    <t>Snyer-kneuser: 6-skyf 2.4m, 3-punt, Vingers</t>
  </si>
  <si>
    <t>Snyer-kneuser: 6-skyf 2.4m, 3-punt, Roller</t>
  </si>
  <si>
    <t>SLEEP - ROLLER</t>
  </si>
  <si>
    <t>Snyer-kneuser: 5-skyf 2.4m, Sleep, Roller, Sy-trek</t>
  </si>
  <si>
    <t>Snyer-kneuser: 6-skyf 3.0m, Sleep, Roller, Sy-trek</t>
  </si>
  <si>
    <t>Snyer-kneuser: 7-skyf 3.5m, Sleep, Roller, Sy-trek,</t>
  </si>
  <si>
    <t>Snyer-kneuser: 7-skyf 3.5m, Sleep, Roller, Middel-trek</t>
  </si>
  <si>
    <t>Snyer-kneuser: 8-skyf 4.0m, Sleep, Roller, Middel-trek</t>
  </si>
  <si>
    <t>Snyer-kneuser: 6-skyf 3.0m, Sleep, Vinger, Sy-trek</t>
  </si>
  <si>
    <t>Snyer-kneuser: 7-skyf 3.5m, Sleep, Vinger, Sy-trek</t>
  </si>
  <si>
    <t>Snyer-kneuser: 7-skyf 3.5m, Sleep, Vinger, Middel-trek</t>
  </si>
  <si>
    <t>Snyer-kneuser: 7-skyf 2.8m, Voor-monteer, Vinger</t>
  </si>
  <si>
    <t>Snyer-kneuser: 8-skyf 3.0m, Voor-monteer, Roller</t>
  </si>
  <si>
    <t>SLEEP - VINGER</t>
  </si>
  <si>
    <t>Kuilvoerkerwer : Enkel ry, 3-punt</t>
  </si>
  <si>
    <t>Kuilvoerkerwer : Enkel-ry, 4mm sny lengte, 3-punt</t>
  </si>
  <si>
    <t>Kuilvoerkerwer : Twee-ry, 4mm sny lengte, 3-punt</t>
  </si>
  <si>
    <t>Kuilvoerkerwer : Vier-ry, 4mm sny lengte, 3-punt</t>
  </si>
  <si>
    <t>Hooiskudder: 3.0m, 3-punt</t>
  </si>
  <si>
    <t>Hooiskudder: 3.2m, 3-punt</t>
  </si>
  <si>
    <t>Hooiskudder: 4.1m, 3-punt</t>
  </si>
  <si>
    <t>Hooiskudder: 5.0m, 3-punt, hidroliese vouvlerke</t>
  </si>
  <si>
    <t>Hooiskudder: 8.7m, 3-punt, hidroliese vouvlerke</t>
  </si>
  <si>
    <t>Vinger-wiel Spoed-hark: 10.0m, sleep</t>
  </si>
  <si>
    <t>Vinger-wiel hark : 4-wiel, 2.28m, 3-punt</t>
  </si>
  <si>
    <t>Vinger-wiel hark : 5-wiel, 2.82m, 3-punt</t>
  </si>
  <si>
    <t>Vinger-wiel hark : 6-wiel, 3.47m, 3-punt</t>
  </si>
  <si>
    <t>Vinger-wiel hark : 8-wiel, 5.45m, 3-punt, V-tipe</t>
  </si>
  <si>
    <t>Vinger-wiel hark : 10-wiel, 6.70m, 3-punt, V-tipe</t>
  </si>
  <si>
    <t>Vinger-wiel hark : 12-wiel, 7.85m, 3-punt, V-tipe</t>
  </si>
  <si>
    <t>Vinger-wiel Spoed-hark: 4.9 - 6.5m, sleep</t>
  </si>
  <si>
    <t>Vinger-wiel Spoed-hark: 5.7 - 7.3m, sleep</t>
  </si>
  <si>
    <t>Vinger-wiel Spoed-hark : 7.4m, sleep</t>
  </si>
  <si>
    <t>MASSABAKKE VIR GRAAN</t>
  </si>
  <si>
    <t>Sleepwa : 2.5ton, vir bakkie, met reelings, hoë spoed</t>
  </si>
  <si>
    <t>SELF-AANGEDREWE PLATSNYERS, SONDER TAFELS</t>
  </si>
  <si>
    <t>PLATSNYER MET TAFEL</t>
  </si>
  <si>
    <t>Platsny tafel - 30 vt tafel - 9.14m</t>
  </si>
  <si>
    <t>Platsny tafel - 25 vt tafel - 7.62m</t>
  </si>
  <si>
    <t>Platsny tafel - 35 vt tafel - 10.67m</t>
  </si>
  <si>
    <t>Platsny tafel - 40 vt tafel - 12.19m</t>
  </si>
  <si>
    <t xml:space="preserve"> SELF-AANGEDREWE MASJINERIE</t>
  </si>
  <si>
    <t>Om die koste van 'n selfloper-platsnyer met 'n tafel te bereken kan die twee items se kostes soos volg bymekaar gevoeg word.</t>
  </si>
  <si>
    <t>MASJINERIEKOSTE BEREKENING</t>
  </si>
  <si>
    <t>Sleep platsnyers word nie meer vervaardig nie en aangepaste pryse is gebruik.</t>
  </si>
  <si>
    <t>Berekende koste sluit slegs koste van die masjien in. Operateur koste en winsmarge is nie ingesluit nie.</t>
  </si>
  <si>
    <t>Die term "droog" verwys na loopkoste sonder brandstof, terwyl "nat" verwys na loopkoste met brandstof ingesluit. "Totale loopkoste" sluit koste van brandstof in.</t>
  </si>
  <si>
    <t>sent/liter</t>
  </si>
  <si>
    <t>Herstel &amp; Onderhoud % vir vragmotors =</t>
  </si>
  <si>
    <t>Meganisie perde met interlinks</t>
  </si>
  <si>
    <t>3-5 ton vragmotors</t>
  </si>
  <si>
    <t>6-12.5 ton vragmotors</t>
  </si>
  <si>
    <t xml:space="preserve">Dieselprys (Handel) = </t>
  </si>
  <si>
    <t>Bande vir :</t>
  </si>
  <si>
    <t xml:space="preserve">Bande vir : </t>
  </si>
  <si>
    <t>PAD-/SLOOTSKRAPER</t>
  </si>
  <si>
    <t>SPESIFIEK TOT SELF-AANGEDREWE MASJINERIE</t>
  </si>
  <si>
    <t>CLAAS D 68 / MERCATOR S / CLAYSON 1530</t>
  </si>
  <si>
    <t>LAVERDA 3400 (VETSAK) / JD 630</t>
  </si>
  <si>
    <t>NH 8050 / CLAAS 76</t>
  </si>
  <si>
    <t>NH TX30/ JD 1068 SIDEHILL</t>
  </si>
  <si>
    <t>NH 8060 ; 8070 / CASE 1640</t>
  </si>
  <si>
    <t>NH TR85</t>
  </si>
  <si>
    <t>NH TF44</t>
  </si>
  <si>
    <t>NH CS 660 / CASE 2388</t>
  </si>
  <si>
    <t>NH CR 960; CASE AXFLO 7088 - KLAS 7</t>
  </si>
  <si>
    <t>JD 960</t>
  </si>
  <si>
    <t>JD 965 HILLSIDER / JD 1065 / JD 1068</t>
  </si>
  <si>
    <t>JD 1450</t>
  </si>
  <si>
    <t>Gravitasie Planter : 13tand x 275mm, 3.58m</t>
  </si>
  <si>
    <t>Gravitasie Planter : 15tand x 275mm, 4.13m</t>
  </si>
  <si>
    <t>Gravitasie Planter : 17tand x 275mm, 4.68m</t>
  </si>
  <si>
    <t>Gravitasie Planter : 19tand x 275mm, 5.23m</t>
  </si>
  <si>
    <t>Gravitasie Planter : 23tand x 275mm, 6.33m</t>
  </si>
  <si>
    <t>Gravitasie Planter : 27tand x 275mm, 7.43m</t>
  </si>
  <si>
    <t>HANDICULT AND FIELDSPAN</t>
  </si>
  <si>
    <t>SWATHERS, WINDROWERS</t>
  </si>
  <si>
    <t>SMALL SQUARE BALERS</t>
  </si>
  <si>
    <t>BIG PACK SQUARE BALERS</t>
  </si>
  <si>
    <t>ROUND BALERS</t>
  </si>
  <si>
    <t>BALE WRAPPERS</t>
  </si>
  <si>
    <t>HAMMERMILLS</t>
  </si>
  <si>
    <t>TRAILERS</t>
  </si>
  <si>
    <t>TRACTOR LOADERS</t>
  </si>
  <si>
    <t>ROAD SCRAPER</t>
  </si>
  <si>
    <t>Graan Aftapkar : 8 ton met Uitlaaipyp</t>
  </si>
  <si>
    <t>Graan Aftapkar : 12 ton met Uitlaaipyp</t>
  </si>
  <si>
    <t>Graan Aftapkar : 15 ton met Uitlaaipyp</t>
  </si>
  <si>
    <t>Graan Aftapkar : 20 ton met Uitlaaipyp</t>
  </si>
  <si>
    <t>Graan Aftapkar : 30 ton met Uitlaaipyp</t>
  </si>
  <si>
    <t>Massabakke x1 : 2.0ton gars / 2.5ton koring</t>
  </si>
  <si>
    <t>Massabakke x2 : 4.0ton gars / 5.0ton koring</t>
  </si>
  <si>
    <t>Massabakke x3 : 6.0ton gars / 7.5ton koring</t>
  </si>
  <si>
    <t>Massabakke x4 : 8.0ton gars / 10.0ton koring</t>
  </si>
  <si>
    <t>JD STS 9660</t>
  </si>
  <si>
    <t>CLAAS 750 LEXION</t>
  </si>
  <si>
    <t>Brandstof-verbruik</t>
  </si>
  <si>
    <t>…alternatief</t>
  </si>
  <si>
    <t>*Model name sal nie in Gids verskyn nie.</t>
  </si>
  <si>
    <t>KOSTE PER UUR (R/UUR)</t>
  </si>
  <si>
    <t>JD 8640 / JD CTS2</t>
  </si>
  <si>
    <t>EKONOMIE OORSIG</t>
  </si>
  <si>
    <t>Met die opdatering van die Gids was die ekonomiese aanwysers soos volg:</t>
  </si>
  <si>
    <t>Repo koers</t>
  </si>
  <si>
    <t>Prima koers</t>
  </si>
  <si>
    <t>R/$-wisselkoers</t>
  </si>
  <si>
    <t>R/£-wisselkoers</t>
  </si>
  <si>
    <t>R/€-wisselkoers</t>
  </si>
  <si>
    <t>per VK pond</t>
  </si>
  <si>
    <t>per Euro</t>
  </si>
  <si>
    <t>per VS dollar</t>
  </si>
  <si>
    <t>PPI</t>
  </si>
  <si>
    <t>Datum:</t>
  </si>
  <si>
    <t>Bron:</t>
  </si>
  <si>
    <t>http://www.resbank.co.za/</t>
  </si>
  <si>
    <t>sent per liter x 80% =</t>
  </si>
  <si>
    <t>Cross-Auger - 30vt - 9.14m</t>
  </si>
  <si>
    <t>Cross-Auger - 35vt - 10.67m</t>
  </si>
  <si>
    <t>Tipwa : 5 ton, met sykante</t>
  </si>
  <si>
    <t>Damskrop : 1.5 kubieke meter, geen hidroliese stelsel</t>
  </si>
  <si>
    <t>Damskrop : 1.5 kubieke meter, hidrolies vir 170kW</t>
  </si>
  <si>
    <t>Tipwa : 3 ton, met sykante</t>
  </si>
  <si>
    <t>Diesel Prys (R/liter) (gebruik)</t>
  </si>
  <si>
    <t>Diesel Rabat (R/liter)</t>
  </si>
  <si>
    <t>Diesel Prys (R/liter) (Handel)</t>
  </si>
  <si>
    <t>Koring straight-tafel, draper, 25vt</t>
  </si>
  <si>
    <t>Koring straight-tafel, draper, 30vt</t>
  </si>
  <si>
    <t>Koring straight-tafel, flex, 30vt</t>
  </si>
  <si>
    <t>Mielie tafel, 6ry x 0.9m = 5.4m</t>
  </si>
  <si>
    <t>X</t>
  </si>
  <si>
    <t>SLEGS LEDE GIDS - LOUIS SAL OPVOLG MET AFRIKAANS</t>
  </si>
  <si>
    <t>3-PUNT TRASH HANDICULT (DUBBELVEER TAND)</t>
  </si>
  <si>
    <t>3-PUNT TRASH HANDICULT ('S' TAND)</t>
  </si>
  <si>
    <t>Trash Fieldspan : 67tand, 10.0m, sleep, HD 'S' Tand</t>
  </si>
  <si>
    <t>Trash Fieldspan : 67tand, 10.0m, sleep, 590 Dubbelveer tand</t>
  </si>
  <si>
    <t>Misstrooier met Drom : 3000L, 2.5-3.0m, sleep</t>
  </si>
  <si>
    <t>Misstrooier met Drom : 4200L, 2.5-3.0m, sleep</t>
  </si>
  <si>
    <t>MISSTROOIERS MET DROM</t>
  </si>
  <si>
    <t>MISSTROOIERS MET SKYWE</t>
  </si>
  <si>
    <t>SWAAILEMSNYERS / BOSSIESLANERS</t>
  </si>
  <si>
    <t>Hooiskudder: 7.65m, sleep</t>
  </si>
  <si>
    <t>Groot vierkant baler (120 X 70) (Standaard)</t>
  </si>
  <si>
    <t>Groot vierkant baler (120 X 90) (Hoë Digtheid)</t>
  </si>
  <si>
    <t>Groot vierkant baler (120 X 90) (Hoë Digtheid) (Kerf)</t>
  </si>
  <si>
    <t>RONDE BAAL TOEDRAAIER / WRAPPER</t>
  </si>
  <si>
    <t>Masjinerie pryse wat nie verkry is nie, is met die gemiddelde masjinerie prysstyging persentasie aangepas.</t>
  </si>
  <si>
    <t>Sleepskraper 2.4m (3-punt)</t>
  </si>
  <si>
    <t>Sleepskraper 2.4m (sleep)</t>
  </si>
  <si>
    <t>Sleepskraper 2.4m (sleep met hidrolies)</t>
  </si>
  <si>
    <t>DAMSKROP</t>
  </si>
  <si>
    <t>GROTER VRAGMOTORS SE JAARLIKSE GEBRUIK IS BASSEER OP KONTRAK GEBRUIK</t>
  </si>
  <si>
    <t>KLEINER VRAGMOTORS SE JAARLIKSE GEBRUIK IS BASSEER OP PLAAS GEBRUIK</t>
  </si>
  <si>
    <t>Veld-effektiwiteit
(%)</t>
  </si>
  <si>
    <t>SELF-AANGEDREWE STROPERS MET OPTELLER</t>
  </si>
  <si>
    <t>SELF-AANGEDREWE STROPERS MET SNYTAFEL</t>
  </si>
  <si>
    <t>SELF-AANGEDREWE PLATSNYERS MODELLE</t>
  </si>
  <si>
    <t>Macdon M100 (74kW/100pK)</t>
  </si>
  <si>
    <t>SELF-AANGEDREWE SPUITE, MET SPUITBALKE</t>
  </si>
  <si>
    <t>Tipwa : 7 ton, met sykante</t>
  </si>
  <si>
    <t>Damskrop : 2.5 kubieke meter, geen hidroliese stelsel</t>
  </si>
  <si>
    <t>Damskrop : 4.0 kubieke meter, geen hidroliese stelsel</t>
  </si>
  <si>
    <t>Waterkar - 1000 L (ook vir Diesel)</t>
  </si>
  <si>
    <t>Platsny tafel - 20 vt tafel - 6.10m</t>
  </si>
  <si>
    <t>Cross-Auger - 25vt - 7.62m</t>
  </si>
  <si>
    <t>Cross-Auger - 40vt - 12.19m</t>
  </si>
  <si>
    <t>CASE WD1203</t>
  </si>
  <si>
    <t>CASE WD1903 + Rear Suspention</t>
  </si>
  <si>
    <t>Macdon M105 (82kW/110pK)</t>
  </si>
  <si>
    <t>Macdon M205 (164kW/220pK)</t>
  </si>
  <si>
    <t>Model beskrywing</t>
  </si>
  <si>
    <t>pK kategorie</t>
  </si>
  <si>
    <t>Spesifiek tot self-aangedrewe platsnyers alleenlik</t>
  </si>
  <si>
    <t>Gemiddelde aankoopprys per kilowatt (R/kW) vir self-aangedrewe platsnyers sonder tafels:</t>
  </si>
  <si>
    <t>Spesifiek tot self-aangedrewe spuite alleenlik</t>
  </si>
  <si>
    <t>per meter</t>
  </si>
  <si>
    <t>Gemiddelde aankoopprys per kilowatt (R/kW) vir self-aangedrewe spuit met 'n 24 meter balk:</t>
  </si>
  <si>
    <t>Spesifiek tot self-aangedrewe kuilvoerkerwers alleenlik</t>
  </si>
  <si>
    <t>Gemiddelde aankoopprys per kilowatt (R/kW) vir self-aangedrewe kuilvoerkerwers sonder tafels:</t>
  </si>
  <si>
    <t xml:space="preserve">Willem Burger   •   wburger@ssk.co.za   •  028 514 8642 </t>
  </si>
  <si>
    <t>Baie dankie aan die verskaffers van masjinerie wat die pryse verskaf. Sonder hulle hulp en insette sou die gids glad nie moontlik gewees het nie.</t>
  </si>
  <si>
    <t>MASJINERIEKOSTEGIDS</t>
  </si>
  <si>
    <t>VIR WESKAAP GRAANPRODUSENTE</t>
  </si>
  <si>
    <r>
      <rPr>
        <b/>
        <sz val="12"/>
        <rFont val="Arial Narrow"/>
        <family val="2"/>
      </rPr>
      <t xml:space="preserve">OVERBERG AGRI (EDMS) BPK </t>
    </r>
    <r>
      <rPr>
        <sz val="12"/>
        <rFont val="Arial Narrow"/>
        <family val="2"/>
      </rPr>
      <t xml:space="preserve">  •   www.overbergagri.co.za   •   Tel. 028 214 3800</t>
    </r>
  </si>
  <si>
    <r>
      <rPr>
        <b/>
        <sz val="12"/>
        <rFont val="Arial Narrow"/>
        <family val="2"/>
      </rPr>
      <t xml:space="preserve">SENTRAAL-SUID KOÖPERASIE BPK (SSK) </t>
    </r>
    <r>
      <rPr>
        <sz val="12"/>
        <rFont val="Arial Narrow"/>
        <family val="2"/>
      </rPr>
      <t xml:space="preserve">  •   www.ssk.co.za   •   Tel. 022 514 8600</t>
    </r>
  </si>
  <si>
    <t>'n Koste aanpassing word vir balkwydte gemaak vir die verskil vanaf 24 meter teen:</t>
  </si>
  <si>
    <t xml:space="preserve">Die gebruik van handelsname is slegs vir informasie om  die gebruiker te help om die gids maklikker te gebruik aangesien produkbeskrywings mag wissel tussen verskaffers. </t>
  </si>
  <si>
    <t>Die aannames wat gebruik word is gestandardiseerde aannames. Die verskil in jaarlikse gebruik en leeftyd het groot effek op koste berekeninge, veral op vaste kostes.</t>
  </si>
  <si>
    <t>Swaardiens Kluitroller : 3.0m</t>
  </si>
  <si>
    <t>Swaardiens Kluitroller : 4.5m</t>
  </si>
  <si>
    <t>Swaardiens Kluitroller : 6.0m</t>
  </si>
  <si>
    <t>Swaardiens Kluitroller : 7.5m</t>
  </si>
  <si>
    <t>Swaardiens Kluitroller : 9.0m</t>
  </si>
  <si>
    <t>Swaardiens Kluitroller : 10.0m</t>
  </si>
  <si>
    <t>Saadbedroller : 3.0m, Medium diens</t>
  </si>
  <si>
    <t>Saadbedroller : 4.5m, Medium diens</t>
  </si>
  <si>
    <t>Saadbedroller : 6.0m, Medium diens</t>
  </si>
  <si>
    <t>Saadbedroller : 7.5m, Medium diens</t>
  </si>
  <si>
    <t>Saadbedroller : 9.0m, Medium diens</t>
  </si>
  <si>
    <t>Saadbedroller : 10.0m, Medium diens</t>
  </si>
  <si>
    <t>Skottelploeg : 8 x 305mm = 1.925m</t>
  </si>
  <si>
    <t>Skottelploeg : 10 x 305mm = 2.475m</t>
  </si>
  <si>
    <t>Skottelploeg : 12 x 305mm = 3.025m</t>
  </si>
  <si>
    <t>Skottelploeg : 14 x 305mm = 3.575m</t>
  </si>
  <si>
    <t>Skottelploeg : 16 x 305mm = 4.125m</t>
  </si>
  <si>
    <t>Skottelploeg : 18 x 305mm = 4.675m</t>
  </si>
  <si>
    <t>Skottelploeg : 20 x 305mm = 5.225m</t>
  </si>
  <si>
    <t>Skottelploeg : 22 x 305mm = 5.775m</t>
  </si>
  <si>
    <t>Skottelploeg : 24 x 305mm = 6.325m</t>
  </si>
  <si>
    <t>SLEEP-TIPE</t>
  </si>
  <si>
    <t>SLEEP-TIPE MET WIELE (LIGTE DIENS)</t>
  </si>
  <si>
    <t>STROPER MODELLE EN ENGIN GROOTTES</t>
  </si>
  <si>
    <t>WATER EN DIESEL KARRE</t>
  </si>
  <si>
    <t>SLEEP- EN ANDER WAENS</t>
  </si>
  <si>
    <t>Sleepwa : 2 Ton, vier-wiel</t>
  </si>
  <si>
    <t>Sleepwa : 6 Ton, vier-wiel</t>
  </si>
  <si>
    <t>Sleepwa : 8 Ton, vier-wiel</t>
  </si>
  <si>
    <t>Sleepwa : 10 Ton, vier-wiel</t>
  </si>
  <si>
    <t>Sleepwa : 4 ton, Platbak</t>
  </si>
  <si>
    <t>Sleepwa : 6 ton, Platbak</t>
  </si>
  <si>
    <t>Kuilvoer Aftapkar - 15 Cu.m. - vier wiel Tipwa</t>
  </si>
  <si>
    <t>Kuilvoer Aftapkar - 18 Cu.m. - vier wiel Tipwa</t>
  </si>
  <si>
    <t>Kuilvoer Aftapkar - 30 Cu.m. - vier wiel Tipwa</t>
  </si>
  <si>
    <t>Ronde Baal Wrapper : Worstipe, Self-aangedrewe</t>
  </si>
  <si>
    <t>GRAIN CART</t>
  </si>
  <si>
    <t>WATER AND DIESEL CARTS</t>
  </si>
  <si>
    <t>TAFELS VIR SELF-AANGEDREWE STROPERS</t>
  </si>
  <si>
    <t>Tafelkoste is reeds ingesluit by die stropers se pryse.</t>
  </si>
  <si>
    <t>Koring optel-tafel, 15vt</t>
  </si>
  <si>
    <t>Koring optel-tafel, 12vt</t>
  </si>
  <si>
    <t>Gemiddelde aankoopprys per kilowatt (R/kW) vir self-aangedrewe stropers sonder tafels:</t>
  </si>
  <si>
    <t>Addisionele koste van 'n optel-tafel wat by stroper se aankoopprys gevoeg word:</t>
  </si>
  <si>
    <t>Sleepwa : 15 Ton, vier-wiel, met lugremme</t>
  </si>
  <si>
    <t>Sleepwa : 10 Ton, vier-wiel, met lugremme</t>
  </si>
  <si>
    <t>Sleepwa : 12 Ton, vier-wiel, met lugremme</t>
  </si>
  <si>
    <t>Sleepwa : 4 Ton, vier-wiel</t>
  </si>
  <si>
    <t>Nico de Wet   •   ndewet@ssk.co.za   •   072 110 3607</t>
  </si>
  <si>
    <t>, 12 voet</t>
  </si>
  <si>
    <t>, 15 voet</t>
  </si>
  <si>
    <t>Rondebaler 1.25m Deursnee - 1.95m Optel (Net) (Kerf)</t>
  </si>
  <si>
    <t>Rondebaler 1.25m Deursnee - 2.15m Optel (Net)</t>
  </si>
  <si>
    <t>Rondebaler 1.25m Deursnee - 2.15m Optel (Net) (Kerf)</t>
  </si>
  <si>
    <t>Rondebaler 1.55m Deursnee - 2.15m Optel (Net)</t>
  </si>
  <si>
    <t>Rondebaler 1.55m Deursnee - 2.15m Optel (Net) (Kerf)</t>
  </si>
  <si>
    <t>Addisionele koste van 'n sny-tafel wat by stroper se annkoopprys gevoeg word:</t>
  </si>
  <si>
    <t>per band per kilometer</t>
  </si>
  <si>
    <t>Olie verbruik vir vragmotors:</t>
  </si>
  <si>
    <t>Sleepskraper 3.5m (sleep met hidrolies)</t>
  </si>
  <si>
    <t>Challenger 670B - KLAS 7</t>
  </si>
  <si>
    <t>NH CX8070</t>
  </si>
  <si>
    <t>SELF-AANGEDREWE PLATSNYER MODELLE EN ENGIN GROOTTES</t>
  </si>
  <si>
    <t>JD 9770 STS</t>
  </si>
  <si>
    <t>New Holland SR130</t>
  </si>
  <si>
    <t>New Holland SR200</t>
  </si>
  <si>
    <t>New Holland SR240</t>
  </si>
  <si>
    <t>John Deere D450</t>
  </si>
  <si>
    <t>CASE Axial-Flow 7120</t>
  </si>
  <si>
    <t>CASE Axial-Flow 8120</t>
  </si>
  <si>
    <t>CASE Axial-Flow 9120</t>
  </si>
  <si>
    <t>HOOISKUDDERS / KRAGHARK / TEDDERS</t>
  </si>
  <si>
    <t>LAVERDA 521 HILLSIDE</t>
  </si>
  <si>
    <t>Branstof- verbruik-faktor</t>
  </si>
  <si>
    <t>JD S690</t>
  </si>
  <si>
    <t>JD 9650 STS / JD S550</t>
  </si>
  <si>
    <t>CLAAS 580 TUCANO / JD S680</t>
  </si>
  <si>
    <t xml:space="preserve"> JD S670</t>
  </si>
  <si>
    <t xml:space="preserve">CASE 6130 </t>
  </si>
  <si>
    <t>CASE Axial-Flow 5130</t>
  </si>
  <si>
    <t>CASE Axial-Flow 6130</t>
  </si>
  <si>
    <t>CASE Axial-Flow 7130</t>
  </si>
  <si>
    <t>CASE Axial-Flow 7230</t>
  </si>
  <si>
    <t>CASE Axial-Flow 8230</t>
  </si>
  <si>
    <t>CASE Axial-Flow 9230</t>
  </si>
  <si>
    <t>Klas 6</t>
  </si>
  <si>
    <t>Klas 7</t>
  </si>
  <si>
    <t>Klas 8</t>
  </si>
  <si>
    <t>Stroper klasse volgens enjin grootte</t>
  </si>
  <si>
    <t>Perdekrag (pK)</t>
  </si>
  <si>
    <t>Kilowatt (kW)</t>
  </si>
  <si>
    <t>Brandstof-
verbruik</t>
  </si>
  <si>
    <t>Lt/uur</t>
  </si>
  <si>
    <t>CASE IH 1666 / JD 9500</t>
  </si>
  <si>
    <t>Kontrakfooi</t>
  </si>
  <si>
    <r>
      <t xml:space="preserve">Neem asb kennis dat die koste per </t>
    </r>
    <r>
      <rPr>
        <b/>
        <sz val="10"/>
        <rFont val="Arial"/>
        <family val="2"/>
      </rPr>
      <t xml:space="preserve">enjin-uur </t>
    </r>
    <r>
      <rPr>
        <sz val="10"/>
        <rFont val="Arial"/>
        <family val="2"/>
      </rPr>
      <t xml:space="preserve">is en nie per </t>
    </r>
    <r>
      <rPr>
        <b/>
        <sz val="10"/>
        <rFont val="Arial"/>
        <family val="2"/>
      </rPr>
      <t>rotor-uur nie</t>
    </r>
    <r>
      <rPr>
        <sz val="10"/>
        <rFont val="Arial"/>
        <family val="2"/>
      </rPr>
      <t>. Rotor-ure is omtrent 80% van enjin-ure s'n en die loopkoste per rotor-uur kan bereken word deur die bedrag vir enjin-uur deur 80% te deel.</t>
    </r>
  </si>
  <si>
    <t xml:space="preserve"> (sonder korting)</t>
  </si>
  <si>
    <t>FORD</t>
  </si>
  <si>
    <t>Ranger 2.5</t>
  </si>
  <si>
    <t>Ranger 2.2</t>
  </si>
  <si>
    <t>Ranger 2.2 4x4 XL</t>
  </si>
  <si>
    <t>Ranger 3.2 Hi-Rider XLS</t>
  </si>
  <si>
    <t>Ranger 2.2 SuperCab Hi-Rider XL</t>
  </si>
  <si>
    <t>Ranger 3.2 SuperCab Hi-Rider XLS</t>
  </si>
  <si>
    <t>ISUZU</t>
  </si>
  <si>
    <t>KB 250</t>
  </si>
  <si>
    <t>KB 250 Fleetside</t>
  </si>
  <si>
    <t>KB 250D-Teq Fleetside</t>
  </si>
  <si>
    <t>KB 250D-Teq LE</t>
  </si>
  <si>
    <t>KB 250D-Teq 4x4 LE</t>
  </si>
  <si>
    <t>KB 300D-Teq LX</t>
  </si>
  <si>
    <t>KB 300D-Teq 4x4 LX</t>
  </si>
  <si>
    <t>MITSUBISHI</t>
  </si>
  <si>
    <t>NISSAN</t>
  </si>
  <si>
    <t>Navara 2.5dCi KingCab XE</t>
  </si>
  <si>
    <t>Navara 2.5dCi KingCab 4x4 XE</t>
  </si>
  <si>
    <t>Navara 2.5dCi Double Cab XE</t>
  </si>
  <si>
    <t>Navara 2.5dCi Double Cab LE</t>
  </si>
  <si>
    <t>NP300 Hardbody 2.0</t>
  </si>
  <si>
    <t>NP300 Hardbody 2.5TDi</t>
  </si>
  <si>
    <t>NP300 Hardbody 2.5TDi Hi-Rider</t>
  </si>
  <si>
    <t>NP300 Hardbody 2.4 4x4</t>
  </si>
  <si>
    <t>NP300 Hardbody 2.5TDi 4x4</t>
  </si>
  <si>
    <t>NP300 Hardbody 2.5TDi Double Cab Hi-Rider</t>
  </si>
  <si>
    <t>NP300 Hardbody 2.4 Double Cab Hi-Rider</t>
  </si>
  <si>
    <t>NP300 Hardbody 2.4 Double Cab 4x4</t>
  </si>
  <si>
    <t>Petrol</t>
  </si>
  <si>
    <t>TOYOTA</t>
  </si>
  <si>
    <t>Land Cruiser 79 4.0 V6</t>
  </si>
  <si>
    <t>Land Cruiser 79 4.2D</t>
  </si>
  <si>
    <t>Land Cruiser 79 4.5D-4D LX V8</t>
  </si>
  <si>
    <t>Land Cruiser 79 4.0 V6 Double Cab</t>
  </si>
  <si>
    <t>VOLKSWAGEN</t>
  </si>
  <si>
    <t>AMAROK 2.0TDI</t>
  </si>
  <si>
    <t>AMAROK 2.0TDI 4Motion</t>
  </si>
  <si>
    <t>AMAROK 2.0TDI Trendline</t>
  </si>
  <si>
    <t>AMAROK 2.0BiTDI Trendline 4Motion</t>
  </si>
  <si>
    <t>AMAROK 2.0TDI Double Cab Trendline 4Motion</t>
  </si>
  <si>
    <t>Petrol Prys (handel)</t>
  </si>
  <si>
    <t>per 1 liter olie</t>
  </si>
  <si>
    <r>
      <t xml:space="preserve">Trash Handicult : 13tand, 2.9m, 3-punt, </t>
    </r>
    <r>
      <rPr>
        <u/>
        <sz val="10"/>
        <rFont val="Arial"/>
        <family val="2"/>
      </rPr>
      <t>590</t>
    </r>
    <r>
      <rPr>
        <sz val="10"/>
        <rFont val="Arial"/>
        <family val="2"/>
      </rPr>
      <t xml:space="preserve"> Dubbelveer Tand</t>
    </r>
  </si>
  <si>
    <r>
      <t xml:space="preserve">Kunsmis, 1000kg = </t>
    </r>
    <r>
      <rPr>
        <sz val="10"/>
        <rFont val="Arial Narrow"/>
        <family val="2"/>
      </rPr>
      <t>±</t>
    </r>
    <r>
      <rPr>
        <sz val="10"/>
        <rFont val="Arial"/>
        <family val="2"/>
      </rPr>
      <t>625L. D.w.s. 1000L = 1.6ton, 2000L = 3.2ton, 3000L = 4.8ton, 4000L = 6.4ton, en 5000L = 8ton.</t>
    </r>
  </si>
  <si>
    <t>Klas 4&amp;5</t>
  </si>
  <si>
    <t>ure vir alle trekkers &lt;180 kW</t>
  </si>
  <si>
    <t>ure vir alle trekkers &gt;181 kW</t>
  </si>
  <si>
    <t>Ranger 2.2 Hi-Rider XL</t>
  </si>
  <si>
    <t>Ranger 2.2 Hi-Rider XLS</t>
  </si>
  <si>
    <t>Ranger 2.2 SuperCab Hi-Rider</t>
  </si>
  <si>
    <t>Ranger 2.2 SuperCab 4x4XL</t>
  </si>
  <si>
    <t>Ranger 2.2 Double Cab Hi-Rider</t>
  </si>
  <si>
    <t>Ranger 2.2 Double Cab Hi-Rider XL</t>
  </si>
  <si>
    <t>Ranger 2.2 Double Cab Hi-Rider XLS</t>
  </si>
  <si>
    <t>Ranger 2.2 Double Cab Hi-Rider XLT</t>
  </si>
  <si>
    <t>Ranger 3.2 Double Cab Hi-Rider XLT</t>
  </si>
  <si>
    <t>Ranger 3.2 Double Cab Hi-Rider XLT auto</t>
  </si>
  <si>
    <t>Ranger 3.2 Double Cab Hi-Rider Wildtrak</t>
  </si>
  <si>
    <t>Ranger 3.2 Double Cab Hi-Rider Wildtrak auto</t>
  </si>
  <si>
    <t>Ranger 3.2 Double Cab 4x4 Wildtrak auto</t>
  </si>
  <si>
    <t>KB 250D-Teq Double Cab LE</t>
  </si>
  <si>
    <t>KB 250D-Teq Double Cab 4x4 LE</t>
  </si>
  <si>
    <t>AMAROK 2.0BiTDI Trendline</t>
  </si>
  <si>
    <t>CPI</t>
  </si>
  <si>
    <t>265  R 16</t>
  </si>
  <si>
    <t>Pieter Burger  •   pieter.burger2@kaapagri.co.za   •   022 482 8047</t>
  </si>
  <si>
    <t>Skottelploeg : 28 x 305mm = 6.875m</t>
  </si>
  <si>
    <t>Strooier : Dubbelskyf, 1500L, 10-36m, 3-punt, presisie</t>
  </si>
  <si>
    <t>Strooier : Dubbelskyf, 4000L, 30-42m, 3-punt, presisie</t>
  </si>
  <si>
    <t>Horisontale Voermenger : 13m³ (4.55t) (met skaal)</t>
  </si>
  <si>
    <t>(250.00c x 80% soos vanaf April 2015)</t>
  </si>
  <si>
    <t>(187.80c x 80% soos vanaf April 2014)</t>
  </si>
  <si>
    <t>(175.00c x 80% soos vanaf April 2013)</t>
  </si>
  <si>
    <t>(158.00c x 80% soos vanaf April 2012)</t>
  </si>
  <si>
    <t xml:space="preserve">Versekering en lisensie (R/Km) = </t>
  </si>
  <si>
    <t>Herstel &amp; onderhoud (R/Km) =</t>
  </si>
  <si>
    <t>% van Gemiddelde belegging ÷ kilometer gebruik per jaar</t>
  </si>
  <si>
    <t>% van Aankoopprys ÷ Leeftyd in kilometer</t>
  </si>
  <si>
    <t>Leeftyd in kilometer en Jaarlikse gebruik is spesifiek tot elke voertuig.</t>
  </si>
  <si>
    <t>% van brandstof-verbruik vir alle bakkies.</t>
  </si>
  <si>
    <t>Ranger 3.2 4x4 XLS</t>
  </si>
  <si>
    <t>Geldig vir alle masjinerie</t>
  </si>
  <si>
    <t>Snyer-kneuser</t>
  </si>
  <si>
    <t>Baal</t>
  </si>
  <si>
    <t>OES : LAND &gt; SILO</t>
  </si>
  <si>
    <t xml:space="preserve">  + MASSABAKKE</t>
  </si>
  <si>
    <t>BAKKIE</t>
  </si>
  <si>
    <t>Voermeng (ton)</t>
  </si>
  <si>
    <t>Baal:Vierkant (baal)</t>
  </si>
  <si>
    <t>Baal:Rond (baal)</t>
  </si>
  <si>
    <t>Wrap:Sleep (baal)</t>
  </si>
  <si>
    <t>Wrap:Wors (baal)</t>
  </si>
  <si>
    <t>Bale oplaai (baal)</t>
  </si>
  <si>
    <t>Bale aflaai (baal)</t>
  </si>
  <si>
    <t>Trkr + Laaigraaf (per uur)</t>
  </si>
  <si>
    <t>Trkr + Waterkar (per uur)</t>
  </si>
  <si>
    <t>Ton</t>
  </si>
  <si>
    <t>Uur</t>
  </si>
  <si>
    <t xml:space="preserve"> VIR WESKAAP GRAANPRODUSENTE</t>
  </si>
  <si>
    <t>Versek. &amp; lisensie</t>
  </si>
  <si>
    <t>Klas 9</t>
  </si>
  <si>
    <t>Klas 10</t>
  </si>
  <si>
    <t>[versteek]</t>
  </si>
  <si>
    <t>Afslag op Lysprys :</t>
  </si>
  <si>
    <t>Die aankoopprys van trekkers word bereken volgens 'n glyskaalformule wat die aankoopprys per kW gelydelik aanpas tussen kategorieë.</t>
  </si>
  <si>
    <t>Die aankoopprys van self-aangedrewe stropers word bereken volgens 'n glyskaalformule wat die aankoopprys per kW gelydelik aanpas tussen kategorieë.</t>
  </si>
  <si>
    <t>KLEINGRAAN GRAVITASIE SAAIMASJIEN (EENDEKUIL DRILL)</t>
  </si>
  <si>
    <t>Bronne om Stroper spesifikasies op te spoor:</t>
  </si>
  <si>
    <t>http://harvestop.eu/</t>
  </si>
  <si>
    <t>http://konedata.net/</t>
  </si>
  <si>
    <t>http://www.agrister.com/</t>
  </si>
  <si>
    <t>http://www.tractordata.com/</t>
  </si>
  <si>
    <t xml:space="preserve">Trekker spesifikasies vir spesifieke fabrikate en modelle kan by die volgende webblad verkry word: </t>
  </si>
  <si>
    <t>Rip / Skeurploeg</t>
  </si>
  <si>
    <t>Drill / Skottelploeg</t>
  </si>
  <si>
    <t>Fieldspan / Handicult</t>
  </si>
  <si>
    <t>Trash Fieldspan S-tand / Trash Handicult</t>
  </si>
  <si>
    <t>Ghrop / Beitelploeg (diep 300mm)</t>
  </si>
  <si>
    <t>Ghrop / Beitelploeg (vlak/toekrap)</t>
  </si>
  <si>
    <t>Kontrasnyeg</t>
  </si>
  <si>
    <t>Eg / Vinger Eg</t>
  </si>
  <si>
    <t>Saadbed Roller</t>
  </si>
  <si>
    <t>Sleep lande (yster/bande)</t>
  </si>
  <si>
    <t>Kunsmisstrooier, 10m wyd</t>
  </si>
  <si>
    <t>Kunsmisstrooier, 20m wyd</t>
  </si>
  <si>
    <t>Kalk strooier, 10m wyd</t>
  </si>
  <si>
    <t>Kalk strooier, 20m wyd</t>
  </si>
  <si>
    <t>Misstrooier, 10m wyd</t>
  </si>
  <si>
    <t>Motorfiets Strooier</t>
  </si>
  <si>
    <t>Motorfiets Spuit</t>
  </si>
  <si>
    <t>Planter, gravitasie tand</t>
  </si>
  <si>
    <t>Planter, gravitasie skyf</t>
  </si>
  <si>
    <t>Planter, lugdruk tand</t>
  </si>
  <si>
    <t>Planter, lugdruk skyf</t>
  </si>
  <si>
    <t>Balkspuit</t>
  </si>
  <si>
    <t>Platsnyer</t>
  </si>
  <si>
    <t>Hark, hooiskudder</t>
  </si>
  <si>
    <t>Baler, kleinvierkant (hooi)</t>
  </si>
  <si>
    <t>Baler, kleinvierkant (strooi)</t>
  </si>
  <si>
    <t>Baler, Rond (hooi)</t>
  </si>
  <si>
    <t>Baler, Rond (strooi)</t>
  </si>
  <si>
    <t>Baler, Bigpack (hooi)</t>
  </si>
  <si>
    <t>Baler, Bigpack (strooi)</t>
  </si>
  <si>
    <t>Wrapper, Sleep (per uur)(27.5bale/uur)</t>
  </si>
  <si>
    <t>Wrapper, Wors (per uur)(40bale/uur)</t>
  </si>
  <si>
    <t>Stroop, snytafel</t>
  </si>
  <si>
    <t>Stroop, opteller</t>
  </si>
  <si>
    <t>Selfloper platsnyer</t>
  </si>
  <si>
    <t>Selfloper snyerkneurser</t>
  </si>
  <si>
    <t>Selfloper spuit</t>
  </si>
  <si>
    <t>Droog,
WVM@50%
Rente@0%</t>
  </si>
  <si>
    <t>Droog,
WVM@100%
Rente@50%</t>
  </si>
  <si>
    <t>Droog,
WVM@100%
Rente@100%</t>
  </si>
  <si>
    <t>Droog,
WVM@100%
Rente@0%</t>
  </si>
  <si>
    <t>MINIMUM FOOI (DROOG)</t>
  </si>
  <si>
    <t>VERLAAGDE FOOI (DROOG)</t>
  </si>
  <si>
    <t>NORMALE FOOI (DROOG)</t>
  </si>
  <si>
    <t>EIE KOSTE (DROOG)</t>
  </si>
  <si>
    <t>NORMALE FOOI (NAT)</t>
  </si>
  <si>
    <r>
      <rPr>
        <b/>
        <sz val="10"/>
        <rFont val="Arial Narrow"/>
        <family val="2"/>
      </rPr>
      <t>DROOG</t>
    </r>
    <r>
      <rPr>
        <sz val="10"/>
        <rFont val="Arial Narrow"/>
        <family val="2"/>
      </rPr>
      <t xml:space="preserve"> = SONDER BRANDSTOF      / </t>
    </r>
    <r>
      <rPr>
        <b/>
        <sz val="10"/>
        <rFont val="Arial Narrow"/>
        <family val="2"/>
      </rPr>
      <t>NAT</t>
    </r>
    <r>
      <rPr>
        <sz val="10"/>
        <rFont val="Arial Narrow"/>
        <family val="2"/>
      </rPr>
      <t xml:space="preserve"> = MET BRANDSTOF</t>
    </r>
  </si>
  <si>
    <t>BEREKENDE LOOPKOSTE (R/HA)</t>
  </si>
  <si>
    <t>MINIMUM FOOI (DROOG) = H&amp;O + 100% WVM + 0% RENTE</t>
  </si>
  <si>
    <t>VERLAAGDE FOOI (DROOG) = H&amp;O + 100% WVM + 50% RENTE</t>
  </si>
  <si>
    <t>NORMALE FOOI (DROOG)= H&amp;O + 100% WVM + 100% RENTE</t>
  </si>
  <si>
    <t>EIE KOSTE (DROOG) = H&amp;O + 50% WVM + 0% RENTE</t>
  </si>
  <si>
    <t>** H&amp;O = Herstel &amp; Onderhoud, WVM = Waardevermindering</t>
  </si>
  <si>
    <t>RIGLYNE VIR KONTRAKFOOIE</t>
  </si>
  <si>
    <t>SELF-AANGEDREWE SPUITE MODELLE EN ENGIN GROOTTES</t>
  </si>
  <si>
    <t>SELF-AANGEDREWE SPUITE MODELLE</t>
  </si>
  <si>
    <t>John Deere R4023 (2300Lt)(tot 24.4m)</t>
  </si>
  <si>
    <t>John Deere R4030 (3000Lt)(tot 36.6m)</t>
  </si>
  <si>
    <t>John Deere R4038 (3800Lt)(tot 36.6m)</t>
  </si>
  <si>
    <t>John Deere R4045 (4500Lt)(tot 36.6m)</t>
  </si>
  <si>
    <t>New Holland SP.240F (27/30m) (3785/4542Lt)</t>
  </si>
  <si>
    <t>New Holland SP.275F (27/30/37m)(4542/5300/6057Lt)</t>
  </si>
  <si>
    <t>New Holland SP.365F (27/30/37m)(4542/5300/6057Lt)</t>
  </si>
  <si>
    <t>John Deere 4940 (27.4-36.5m)(4542Lt)</t>
  </si>
  <si>
    <t>John Deere 4930 (27.4-36.5m)(4542Lt)</t>
  </si>
  <si>
    <t>http://www.ritchiespecs.com/</t>
  </si>
  <si>
    <t>Bronne om Self-aangedrewe spuite se spesifikasies op te spoor:</t>
  </si>
  <si>
    <t>Bronne om Self-aangedrewe platsnyers se spesifikasies op te spoor:</t>
  </si>
  <si>
    <r>
      <rPr>
        <b/>
        <sz val="12"/>
        <rFont val="Arial Narrow"/>
        <family val="2"/>
      </rPr>
      <t xml:space="preserve">WESGRAAN (KAAP AGRI) </t>
    </r>
    <r>
      <rPr>
        <sz val="12"/>
        <rFont val="Arial Narrow"/>
        <family val="2"/>
      </rPr>
      <t xml:space="preserve">  •   wesgraan.kaapagri.co.za   •   Tel. 022 482 8000</t>
    </r>
  </si>
  <si>
    <t>* Bron: Opsomming van Agfacts (www.agfacts.co.za) : Effektief 1 Februarie 2017</t>
  </si>
  <si>
    <t>Beitelploeg : 17tand, 5.1m, 3-punt</t>
  </si>
  <si>
    <t>Beitelploeg : 15tand, 4.5m, sleep</t>
  </si>
  <si>
    <t>Beitelploeg : 17tand, 5.1m, sleep</t>
  </si>
  <si>
    <t>Saadbedroller : 2.0m, Medium diens</t>
  </si>
  <si>
    <t>Strooier : Dubbelskyf, Kalk en Korrel kunsmis, 5600L, 10ton</t>
  </si>
  <si>
    <t>Strooier : Dubbelskyf, Kalk en Korrel kunsmis, 6750L, 12ton</t>
  </si>
  <si>
    <t>KLEINGRAAN SKOTTEL PLANTER MET DISAKSIE</t>
  </si>
  <si>
    <t>Gravitasie Saaimasjien : 13s x 275mm, 3.58m (skottel)</t>
  </si>
  <si>
    <t>Gravitasie Saaimasjien : 15s x 275mm, 4.13m (skottel)</t>
  </si>
  <si>
    <t>Gravitasie Saaimasjien : 17s x 275mm, 4.68m (skottel)</t>
  </si>
  <si>
    <t>Gravitasie Saaimasjien : 19s x 275mm, 5.23m (skottel)</t>
  </si>
  <si>
    <t>Gravitasie Saaimasjien : 23s x 275mm, 6.33m (skottel)</t>
  </si>
  <si>
    <t>Gravitasie Saaimasjien : 27s x 275mm, 7.43m (skottel)</t>
  </si>
  <si>
    <t>Skottelplanter, sny-eg : 4m, 32skt, gravitasie</t>
  </si>
  <si>
    <t>Skottelplanter, sny-eg : 6m, 48skt, lugdruk (slegs saadkis)</t>
  </si>
  <si>
    <t>Skottelplanter, sny-eg : 6m, 48skt, lugdruk (saad en kunsmis)</t>
  </si>
  <si>
    <t>Voorbeeld: Väderstad Rapid, 125mm spasiering</t>
  </si>
  <si>
    <t>Balkspuit : 2500L, 18m, Sleep</t>
  </si>
  <si>
    <t>Balkspuit : 2500L, 20m, Sleep</t>
  </si>
  <si>
    <t>Balkspuit : 2500L, 21m, Sleep</t>
  </si>
  <si>
    <t>Balkspuit : 2500L, 24m, Sleep</t>
  </si>
  <si>
    <t>Balkspuit : 3000L, 24m, Sleep</t>
  </si>
  <si>
    <t>Balkspuit : 3000L, 28m, Sleep</t>
  </si>
  <si>
    <t>Balkspuit : 3000L, 30m, Sleep</t>
  </si>
  <si>
    <t>Balkspuit : 5000L, 30m, Sleep</t>
  </si>
  <si>
    <t>Balkspuit : 5000L, 36m, Sleep</t>
  </si>
  <si>
    <t>Klein vierkant baler 5060</t>
  </si>
  <si>
    <t>Klein vierkant baler 5070</t>
  </si>
  <si>
    <t>Vertikale Voermenger : 1.5m³, Enkel uitlaai</t>
  </si>
  <si>
    <t>Aapstert, 3-punt arm</t>
  </si>
  <si>
    <t>DAM SCRAPER</t>
  </si>
  <si>
    <t>FIAT</t>
  </si>
  <si>
    <t>Fullback 2.4</t>
  </si>
  <si>
    <t>Fullback 2.5 Di-D Double Cab SX</t>
  </si>
  <si>
    <t>Fullback 2.5 Di-D Double Cab 4X4 LX</t>
  </si>
  <si>
    <t>Ranger 2.2 Hi-Rider XL auto</t>
  </si>
  <si>
    <t>Ranger 2.2 4X4 XL-Plus</t>
  </si>
  <si>
    <t>Ranger 2.4 4X4 XLS</t>
  </si>
  <si>
    <t>Ranger 2.2 4x4 XLS auto</t>
  </si>
  <si>
    <t>Ranger 2.2 SuperCab Hi-Rider XL auto</t>
  </si>
  <si>
    <t>Ranger 2.2 SuperCab H-Rider XLS auto</t>
  </si>
  <si>
    <t>Ranger 2.2 SuperCab 4X4 XLS auto</t>
  </si>
  <si>
    <t>Ranger 3.2 SuperCab 4x4 XLS</t>
  </si>
  <si>
    <t>Ranger 3.2 SuperCab 4x4 XLT auto</t>
  </si>
  <si>
    <t>Ranger 2.2 Double Cab Hi-Ridr XL auto</t>
  </si>
  <si>
    <t>Ranger 2.2 Double Cab 4x4 XL</t>
  </si>
  <si>
    <t>Ranger 2.2 Double Cab 4x4 XL auto</t>
  </si>
  <si>
    <t>Ranger 2.2 Double Cab 4x4 XL-Plus</t>
  </si>
  <si>
    <t>Ranger 2.2 Double Cab 4x4 XLS</t>
  </si>
  <si>
    <t>Ranger 2.2 Double Cab 4x4 XLS auto</t>
  </si>
  <si>
    <t>Ranger 2.2 Double Cab Hi-Rider XLT auto</t>
  </si>
  <si>
    <t>Ranger 3.2 Double Cab 4x4 XLT</t>
  </si>
  <si>
    <t>Ranger 3.2 Double Cab 4x4 XLT auto</t>
  </si>
  <si>
    <t>FOTON</t>
  </si>
  <si>
    <t>Tunland 2.8 On-Road Comfort</t>
  </si>
  <si>
    <t>Tunland 2.8 Off-Road Comfort</t>
  </si>
  <si>
    <t>Tunland 2.8 Off-Road Luxury</t>
  </si>
  <si>
    <t>Tunland 2.8 Double Cab off-road Comfort</t>
  </si>
  <si>
    <t>Tunland 2.8 Double Cab off-road Luxury</t>
  </si>
  <si>
    <t>Tunland 2.8 Double Cab off-road Granite</t>
  </si>
  <si>
    <t>Tunland 2.8 Double Cab 4x4 Comfort</t>
  </si>
  <si>
    <t>Tunland 2.8 Double Cab 4x4 Luxury</t>
  </si>
  <si>
    <t>GWM</t>
  </si>
  <si>
    <t>Steed 5 2.2L Workhouse</t>
  </si>
  <si>
    <t>Steed 5 2.2L Workhouse safety</t>
  </si>
  <si>
    <t>Steed 5 2.0 Workhorse</t>
  </si>
  <si>
    <t>Steed 5 2.0VGT 4x4 Workhorse</t>
  </si>
  <si>
    <t>Steed 5 2.2L Double Cab</t>
  </si>
  <si>
    <t>Steed 5 2.2L Double Cab SX</t>
  </si>
  <si>
    <t>Steed 5 2.0 VGT Double Cab SX</t>
  </si>
  <si>
    <t>Steed 5 2.0 VGT Double Cab 4x4 SX</t>
  </si>
  <si>
    <t>Steed 5E 2.4 Double Cab SX</t>
  </si>
  <si>
    <t>Steed 5E 2.4 Double Cab Xscape</t>
  </si>
  <si>
    <t>Steed 5E 2.0VGT Double Cab SX</t>
  </si>
  <si>
    <t>Steed 5E 2.0VGT Double Cab Xscape</t>
  </si>
  <si>
    <t>Steed 6 2.0VGT Double Cab SX</t>
  </si>
  <si>
    <t>Steed 6 2.0VGT Double Cab Xscape</t>
  </si>
  <si>
    <t>KB250D-Teq Extended Cab Hi-Rider</t>
  </si>
  <si>
    <t>KB300D-Teq Extended Cab LX</t>
  </si>
  <si>
    <t>KB300D-Teq Extended cab LX auto</t>
  </si>
  <si>
    <t>KB300D-Teq Extended Cab 4x4 LX</t>
  </si>
  <si>
    <t>KB250D-Teq Double cab Hi-Rider</t>
  </si>
  <si>
    <t>KB 300D-Teq Double Cab LX</t>
  </si>
  <si>
    <t>KB 300D-Teq Double Cab LX auto</t>
  </si>
  <si>
    <t>KB 300D-Teq Double Cab 4x4 LX</t>
  </si>
  <si>
    <t>KB 300D-Teq Double Cab 4x4 LX auto</t>
  </si>
  <si>
    <t>JMC</t>
  </si>
  <si>
    <t>Boarding 2.8TD</t>
  </si>
  <si>
    <t>Boarding 2.8TD Lux</t>
  </si>
  <si>
    <t>Boarding 2.8TD Double Cab Lux</t>
  </si>
  <si>
    <t>Boarding 2.8TD Double Cab 4x4 Lux</t>
  </si>
  <si>
    <t>Vigus 2.4 Double Cab LX</t>
  </si>
  <si>
    <t>Vigus 2.4 Double Cab SLX</t>
  </si>
  <si>
    <t>Vigus 2.4TDCi Double Cab LX</t>
  </si>
  <si>
    <t>Vigus 2.4TDCi Double Cab SLX</t>
  </si>
  <si>
    <t>Vigus 2.4TDCi Double Cab 4WD LX</t>
  </si>
  <si>
    <t>Vigus 2.4TDCi Double Cab 4WD SLX</t>
  </si>
  <si>
    <t>Bolero 2.5Di Maxitruck Plus</t>
  </si>
  <si>
    <t>Bolero 2.5TD</t>
  </si>
  <si>
    <t>Bolero 2.5TD 4x4</t>
  </si>
  <si>
    <t>Bolero 2.5TD Double Cab</t>
  </si>
  <si>
    <t>Bolero 2.5TD Double Cab 4x4</t>
  </si>
  <si>
    <t>Genio 2.2CRDe</t>
  </si>
  <si>
    <t>Genio 2.2 CRDe Plus</t>
  </si>
  <si>
    <t>Genio 2.2CRDe Double Cab</t>
  </si>
  <si>
    <t>Scorpio Pik-up 2.5TCI Loader</t>
  </si>
  <si>
    <t>Scorpio Pik-up 2.5TCI</t>
  </si>
  <si>
    <t>Scorpio Pik-up 2.5TCI 4x4</t>
  </si>
  <si>
    <t>Scorpio Pik-up 2.2CRDe</t>
  </si>
  <si>
    <t>Scorpio Pik-up 2.2CRDe Adventure</t>
  </si>
  <si>
    <t>Scorpio Pik-up 2.2CRDe 4x4</t>
  </si>
  <si>
    <t>Scorpio Pik-up 2.2CRDe 4x4 Adventure</t>
  </si>
  <si>
    <t>Scorpio Pik-up 2.5TCI Double Cap</t>
  </si>
  <si>
    <t>Scorpio Pik-up 2.5TCI Double Cab 4x4</t>
  </si>
  <si>
    <t>Scorpio Pik-up 2.2CRDe Double Cab</t>
  </si>
  <si>
    <t>Scorpio Pik-up 2.2CRDe Doube Cab Adventure</t>
  </si>
  <si>
    <t>Scorpio Pik-up 2.2CRD3 Double Cab 4x4</t>
  </si>
  <si>
    <t>Scorpio Pik-up 2.2CRDe Double Cab 4x4 Adv</t>
  </si>
  <si>
    <t>Scorpio 2.2CRDe VLX</t>
  </si>
  <si>
    <t>Scorpio 2.2CRDe VLX Adventure</t>
  </si>
  <si>
    <t>Scorpio 2.2 CRDe 4x4 VLX</t>
  </si>
  <si>
    <t>Scorpio 2.2CRDe 4x4 VLX Adventure</t>
  </si>
  <si>
    <t>MAHINDRA</t>
  </si>
  <si>
    <t>MAZDA</t>
  </si>
  <si>
    <t>BT-50 2.2 SLX</t>
  </si>
  <si>
    <t>BT-50 2.2 Freestyle Cab SLX</t>
  </si>
  <si>
    <t>BT-50 3.2 Freestyle Cab SLE</t>
  </si>
  <si>
    <t>BT-50 3.2 Freestyle Cab SLE auto</t>
  </si>
  <si>
    <t>BT-50 3.2 Freestyle Cab 4x4 SLE</t>
  </si>
  <si>
    <t>BT-50 2.2 Double Cab SLE</t>
  </si>
  <si>
    <t>BT-50 3.2 Double Cab SLE</t>
  </si>
  <si>
    <t>BT-50 3.2 Double Cab SLE auto</t>
  </si>
  <si>
    <t>BT-50 3.2 Double Cab 4x4 SLE</t>
  </si>
  <si>
    <t>BT-50 3.2 Double Cab 4x4 SLE auto</t>
  </si>
  <si>
    <t>Triton 2.4DI-D Double Cab</t>
  </si>
  <si>
    <t>Triton 2.4DI-D Double Cab auto</t>
  </si>
  <si>
    <t>Triton 2.4DI-D Double Cab 4x4</t>
  </si>
  <si>
    <t>Triton 2.4DI-D Double Cab 4x4 auto</t>
  </si>
  <si>
    <t>NP200 1.6i</t>
  </si>
  <si>
    <t>NP200 1.6i pack</t>
  </si>
  <si>
    <t>NP200 1.6i Ice</t>
  </si>
  <si>
    <t>NP200 1.6 16v S</t>
  </si>
  <si>
    <t>NP200 1.6 16v SE</t>
  </si>
  <si>
    <t>NP200 1.5dCi pack</t>
  </si>
  <si>
    <t>NP200 1.5dCi Ice</t>
  </si>
  <si>
    <t>NP200 1.5dCi SE</t>
  </si>
  <si>
    <t>Patrol 3.0TD Pick-Up</t>
  </si>
  <si>
    <t>Patrol 3.0TD GL</t>
  </si>
  <si>
    <t>Patrol 4.8 GRX</t>
  </si>
  <si>
    <t>TATA</t>
  </si>
  <si>
    <t>Xenon 3.0L Fleetline</t>
  </si>
  <si>
    <t>Xenon 3.0L DLE Double Cab</t>
  </si>
  <si>
    <t>Xenon XT 2.2L</t>
  </si>
  <si>
    <t>Xenon XT 2.2L 4x4</t>
  </si>
  <si>
    <t>Xenon XT 2.2L Double Cab</t>
  </si>
  <si>
    <t>Xenon XT 2.2L Double Cab Evolve</t>
  </si>
  <si>
    <t>Xenon XT 2.2L Double Cab 4x4</t>
  </si>
  <si>
    <t>Hilux 2.0</t>
  </si>
  <si>
    <t>Hilux 2.4 GD</t>
  </si>
  <si>
    <t>Hilux 2.7 SRX</t>
  </si>
  <si>
    <t>Hilux 2.4 GD-6 4x4 SRX</t>
  </si>
  <si>
    <t>Hilux 2.4 GD-6 4x4 SR</t>
  </si>
  <si>
    <t>Hilux 2.4 GD-6 Xtra Cab SRX</t>
  </si>
  <si>
    <t>Hilux 2.8 GD-6 Xtra Cab Raider</t>
  </si>
  <si>
    <t>Hilux 2.8 GD-6 Xtra Cab 4x4 Raider</t>
  </si>
  <si>
    <t>Hilux 2.7 Double Cab SRX</t>
  </si>
  <si>
    <t>Hilux 2.4 GD-6 Double Cab SRX</t>
  </si>
  <si>
    <t>Hilux 2.4 GD-6 Double Cab 4X4 SRX</t>
  </si>
  <si>
    <t>Hilux 4.0 V6 Double Cab Raider</t>
  </si>
  <si>
    <t>Hilux 4.0 V6 Double Cab 4x4 Raider</t>
  </si>
  <si>
    <t>Land Cruiser 79 4.2D Double Cab</t>
  </si>
  <si>
    <t>Land Cruiser 79 4.5D-4D V8 Double Cab</t>
  </si>
  <si>
    <t>Land Cruiser 76 4.5D-4D LX V8 Station Wagon</t>
  </si>
  <si>
    <t>AMAROK 2.0TDI Trendline 4Motion</t>
  </si>
  <si>
    <t>AMAROK 2.0TDI Double Cab Trendline</t>
  </si>
  <si>
    <t>AMAROK 2.0BiTDI Double Cab Highline</t>
  </si>
  <si>
    <t>AMAROK 2.0BiTDI Double Cab Highlineauto</t>
  </si>
  <si>
    <t>AMAROK 2.0BiTDI Double Cab Highline 4Motion</t>
  </si>
  <si>
    <t>AMAROK 2.0BiTDI Double Cab Highline 4Motion auto</t>
  </si>
  <si>
    <t>AMAROK 2.0BiTDI Double Cab 4Motion Ultimate</t>
  </si>
  <si>
    <t>Transporter 2.0TDI</t>
  </si>
  <si>
    <t>Transporter 2.0TDI Double Cab</t>
  </si>
  <si>
    <t>Transporter 2.0TDI Double Cab 4 Motion</t>
  </si>
  <si>
    <t>Transporter 2.0BiTDI Double Cab auto</t>
  </si>
  <si>
    <t>(270.00c x 80% soos vanaf April 2016)</t>
  </si>
  <si>
    <t>(290.00c x 80% soos vanaf April 2017)</t>
  </si>
  <si>
    <t>Aankooppryse tans gemiddeldes bereken uit CAR tydskrif se Bakkie Pryse vir Februarie 2017.</t>
  </si>
  <si>
    <t>Mei 2017</t>
  </si>
  <si>
    <t>Kontra-Snyeg/Saadbedvormer : 30skottel, 4.0m, sleep</t>
  </si>
  <si>
    <t>Skyfsnymasjien: 8-skyf, 3.51m , 3-punt met optel-beheer</t>
  </si>
  <si>
    <t>Hilux 2.4 GD-6 Double Cab 4x4 SR</t>
  </si>
  <si>
    <t>Hilux 2.8 GD-6 Double Cab Raider</t>
  </si>
  <si>
    <t>Hilux 2.8 GD-6 Double Cab Raider Auto</t>
  </si>
  <si>
    <t>Hilux 2.8 GD-6 Double Cab 4X4 Raider</t>
  </si>
  <si>
    <t>Hilux 2.8 GD-6 Double Cab 4x4 Raider auto</t>
  </si>
  <si>
    <t>Hilux 2.8 GD-6 4x4 Raider</t>
  </si>
  <si>
    <t>Hilux 2.8 GD-6 Raider</t>
  </si>
  <si>
    <t>Hilux 2.4 GD-6 SRX</t>
  </si>
  <si>
    <t>Ruan Schutte (Caledon)   •   RSchutte@overbergagri.co.za   •   028 214 3826</t>
  </si>
  <si>
    <t xml:space="preserve">Pierre Laubscher (Bredasdorp)  •   pierrel@overbergagri.co.za   •   028 425 5827 </t>
  </si>
  <si>
    <t>Lombard van Jaarsveld (Moorreesburg)   •   lombardvj@overbergagri.co.za   •   022 433 8381</t>
  </si>
  <si>
    <r>
      <rPr>
        <b/>
        <sz val="10"/>
        <color theme="1" tint="0.14999847407452621"/>
        <rFont val="Arial Narrow"/>
        <family val="2"/>
      </rPr>
      <t xml:space="preserve">Vrywaring: 
</t>
    </r>
    <r>
      <rPr>
        <sz val="10"/>
        <color theme="1" tint="0.14999847407452621"/>
        <rFont val="Arial Narrow"/>
        <family val="2"/>
      </rPr>
      <t>Die voorbereiding van die inligting is met groot sorg gedoen om die akkuraatheid daarvan te verseker.  Weens die aard van die inligting en data wat in die dokument weergegee word, kan geen persoon aanspreeklik gehou word vir enige skade of verliese deur enige een gely weens die gebruik of nie-gebruik hiervan nie.</t>
    </r>
  </si>
  <si>
    <t>4 X 4 TREKKERS (VERVOLG)</t>
  </si>
  <si>
    <t xml:space="preserve"> Vervolg op volgende bladsy…</t>
  </si>
  <si>
    <r>
      <t xml:space="preserve">Weens die groot aanbod van </t>
    </r>
    <r>
      <rPr>
        <b/>
        <sz val="10"/>
        <rFont val="Arial"/>
        <family val="2"/>
      </rPr>
      <t>kontrakdienste</t>
    </r>
    <r>
      <rPr>
        <sz val="10"/>
        <rFont val="Arial"/>
        <family val="2"/>
      </rPr>
      <t xml:space="preserve"> vir stroop is ondervind dat om die kontrakfooi vir stroop te bereken slegs 50-60% van Rente toegedeel word om die </t>
    </r>
    <r>
      <rPr>
        <b/>
        <sz val="10"/>
        <rFont val="Arial"/>
        <family val="2"/>
      </rPr>
      <t>kontrakfooi</t>
    </r>
    <r>
      <rPr>
        <sz val="10"/>
        <rFont val="Arial"/>
        <family val="2"/>
      </rPr>
      <t xml:space="preserve"> te bepaal.</t>
    </r>
  </si>
  <si>
    <t>TRASH HANDICULT, TRASH FIELDSPAN, SCARRIFIER (VERVOLG)</t>
  </si>
  <si>
    <t>MINIMUM BEWERKING KLEINGRAAN LUGDRUK PLANTERS (VERVOLG…)</t>
  </si>
  <si>
    <t>Louis Coetzee   •   louis.coetzee@kaapagri.co.za   •   022 931 8210</t>
  </si>
  <si>
    <t>…</t>
  </si>
  <si>
    <t>MASJINERIEKOSTES</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</si>
</sst>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6" formatCode="&quot;R&quot;\ #,##0;[Red]&quot;R&quot;\ \-#,##0"/>
    <numFmt numFmtId="8" formatCode="&quot;R&quot;\ #,##0.00;[Red]&quot;R&quot;\ \-#,##0.00"/>
    <numFmt numFmtId="164" formatCode="&quot;R&quot;#,##0.00_);[Red]\(&quot;R&quot;#,##0.00\)"/>
    <numFmt numFmtId="165" formatCode="&quot;R&quot;#,##0_);[Red]\(&quot;R&quot;#,##0\)"/>
    <numFmt numFmtId="166" formatCode="_(&quot;R&quot;* #,##0.00_);_(&quot;R&quot;* \(#,##0.00\);_(&quot;R&quot;* &quot;-&quot;??_);_(@_)"/>
    <numFmt numFmtId="167" formatCode="_(* #,##0.00_);_(* \(#,##0.00\);_(* &quot;-&quot;??_);_(@_)"/>
    <numFmt numFmtId="168" formatCode="_-* #,##0.00_-;\-* #,##0.00_-;_-* &quot;-&quot;??_-;_-@_-"/>
    <numFmt numFmtId="169" formatCode="&quot;R&quot;\ #,##0.00"/>
    <numFmt numFmtId="170" formatCode="0.0"/>
    <numFmt numFmtId="171" formatCode="&quot;R&quot;\ #,##0"/>
    <numFmt numFmtId="172" formatCode="#,##0.0000"/>
    <numFmt numFmtId="173" formatCode="#,##0.0"/>
    <numFmt numFmtId="174" formatCode="#,##0.000;;&quot;-&quot;"/>
    <numFmt numFmtId="175" formatCode="#,##0;;"/>
    <numFmt numFmtId="176" formatCode="#,##0.000;;"/>
    <numFmt numFmtId="177" formatCode="#,##0.00;;"/>
    <numFmt numFmtId="178" formatCode="0.00;;"/>
    <numFmt numFmtId="179" formatCode="#,##0.0;;"/>
    <numFmt numFmtId="180" formatCode="0.0;;"/>
    <numFmt numFmtId="181" formatCode="0;;"/>
    <numFmt numFmtId="182" formatCode="0."/>
    <numFmt numFmtId="183" formatCode="#,##0.000"/>
    <numFmt numFmtId="184" formatCode="0.0000"/>
    <numFmt numFmtId="185" formatCode="#,##0.00;\-#,##0.00;\~"/>
    <numFmt numFmtId="186" formatCode="_ &quot;R&quot;\ * #,##0_ ;_ &quot;R&quot;\ * \-#,##0_ ;_ &quot;R&quot;\ * &quot;-&quot;??_ ;_ @_ "/>
    <numFmt numFmtId="187" formatCode="@*."/>
    <numFmt numFmtId="188" formatCode="&quot;R&quot;\ #,##0.000;[Red]&quot;R&quot;\ \-#,##0.000"/>
  </numFmts>
  <fonts count="99">
    <font>
      <sz val="12"/>
      <name val="HLV"/>
    </font>
    <font>
      <sz val="11"/>
      <color theme="1"/>
      <name val="Arial"/>
      <family val="2"/>
      <scheme val="minor"/>
    </font>
    <font>
      <sz val="10"/>
      <color theme="1"/>
      <name val="Arial Narrow"/>
      <family val="2"/>
    </font>
    <font>
      <sz val="10"/>
      <color theme="1"/>
      <name val="Arial Narrow"/>
      <family val="2"/>
    </font>
    <font>
      <sz val="10"/>
      <color theme="1"/>
      <name val="Arial"/>
      <family val="2"/>
    </font>
    <font>
      <sz val="10"/>
      <name val="Arial"/>
      <family val="2"/>
    </font>
    <font>
      <sz val="10"/>
      <name val="Arial"/>
      <family val="2"/>
    </font>
    <font>
      <sz val="12"/>
      <color indexed="8"/>
      <name val="HLV"/>
    </font>
    <font>
      <sz val="12"/>
      <name val="HLV"/>
    </font>
    <font>
      <sz val="10"/>
      <color indexed="8"/>
      <name val="Arial"/>
      <family val="2"/>
    </font>
    <font>
      <b/>
      <sz val="10"/>
      <color indexed="8"/>
      <name val="Arial"/>
      <family val="2"/>
    </font>
    <font>
      <b/>
      <u/>
      <sz val="10"/>
      <name val="Arial"/>
      <family val="2"/>
    </font>
    <font>
      <b/>
      <sz val="10"/>
      <name val="Arial"/>
      <family val="2"/>
    </font>
    <font>
      <i/>
      <sz val="10"/>
      <name val="Arial"/>
      <family val="2"/>
    </font>
    <font>
      <sz val="11"/>
      <color indexed="62"/>
      <name val="Calibri"/>
      <family val="2"/>
    </font>
    <font>
      <sz val="10"/>
      <name val="Century Gothic"/>
      <family val="2"/>
    </font>
    <font>
      <b/>
      <sz val="9"/>
      <color indexed="81"/>
      <name val="Tahoma"/>
      <family val="2"/>
    </font>
    <font>
      <sz val="9"/>
      <color indexed="81"/>
      <name val="Tahoma"/>
      <family val="2"/>
    </font>
    <font>
      <b/>
      <sz val="15"/>
      <color indexed="8"/>
      <name val="Arial"/>
      <family val="2"/>
    </font>
    <font>
      <b/>
      <sz val="14"/>
      <color indexed="8"/>
      <name val="Arial"/>
      <family val="2"/>
    </font>
    <font>
      <u/>
      <sz val="10"/>
      <name val="Arial"/>
      <family val="2"/>
    </font>
    <font>
      <sz val="10"/>
      <name val="Arial Narrow"/>
      <family val="2"/>
    </font>
    <font>
      <b/>
      <sz val="10"/>
      <name val="Arial Narrow"/>
      <family val="2"/>
    </font>
    <font>
      <b/>
      <u/>
      <sz val="10"/>
      <name val="Arial Narrow"/>
      <family val="2"/>
    </font>
    <font>
      <b/>
      <u/>
      <sz val="10"/>
      <color indexed="8"/>
      <name val="Arial"/>
      <family val="2"/>
    </font>
    <font>
      <b/>
      <sz val="18"/>
      <name val="Arial Narrow"/>
      <family val="2"/>
    </font>
    <font>
      <u/>
      <sz val="12"/>
      <color theme="10"/>
      <name val="HLV"/>
    </font>
    <font>
      <sz val="10"/>
      <color rgb="FF000000"/>
      <name val="Arial"/>
      <family val="2"/>
    </font>
    <font>
      <sz val="10"/>
      <color rgb="FFFF0000"/>
      <name val="Arial"/>
      <family val="2"/>
    </font>
    <font>
      <b/>
      <sz val="10"/>
      <color rgb="FFFF0000"/>
      <name val="Arial"/>
      <family val="2"/>
    </font>
    <font>
      <sz val="10"/>
      <color theme="1" tint="0.34998626667073579"/>
      <name val="Arial"/>
      <family val="2"/>
    </font>
    <font>
      <sz val="10"/>
      <color theme="1" tint="0.249977111117893"/>
      <name val="Arial"/>
      <family val="2"/>
    </font>
    <font>
      <sz val="10"/>
      <color theme="1" tint="0.499984740745262"/>
      <name val="Arial"/>
      <family val="2"/>
    </font>
    <font>
      <sz val="10"/>
      <color theme="3"/>
      <name val="Arial"/>
      <family val="2"/>
    </font>
    <font>
      <sz val="10"/>
      <color rgb="FF00B050"/>
      <name val="Arial"/>
      <family val="2"/>
    </font>
    <font>
      <b/>
      <i/>
      <sz val="10"/>
      <color theme="1" tint="0.249977111117893"/>
      <name val="Arial"/>
      <family val="2"/>
    </font>
    <font>
      <sz val="10"/>
      <color rgb="FFFF0000"/>
      <name val="Arial Narrow"/>
      <family val="2"/>
    </font>
    <font>
      <b/>
      <sz val="10"/>
      <color theme="1" tint="0.249977111117893"/>
      <name val="Arial"/>
      <family val="2"/>
    </font>
    <font>
      <sz val="10"/>
      <color rgb="FF004C22"/>
      <name val="Arial"/>
      <family val="2"/>
    </font>
    <font>
      <sz val="10"/>
      <name val="Arial"/>
      <family val="2"/>
      <scheme val="major"/>
    </font>
    <font>
      <sz val="10"/>
      <color rgb="FF0000FF"/>
      <name val="Arial Narrow"/>
      <family val="2"/>
    </font>
    <font>
      <b/>
      <sz val="10"/>
      <color rgb="FFFF0000"/>
      <name val="Arial Narrow"/>
      <family val="2"/>
    </font>
    <font>
      <sz val="10"/>
      <color rgb="FF0000FF"/>
      <name val="Arial"/>
      <family val="2"/>
      <scheme val="minor"/>
    </font>
    <font>
      <sz val="10"/>
      <color rgb="FF000000"/>
      <name val="Arial Narrow"/>
      <family val="2"/>
    </font>
    <font>
      <b/>
      <sz val="12"/>
      <name val="Arial Narrow"/>
      <family val="2"/>
    </font>
    <font>
      <b/>
      <sz val="10"/>
      <color rgb="FF0000FF"/>
      <name val="Arial Narrow"/>
      <family val="2"/>
    </font>
    <font>
      <b/>
      <sz val="10"/>
      <color theme="0"/>
      <name val="Arial"/>
      <family val="2"/>
    </font>
    <font>
      <b/>
      <sz val="12"/>
      <color theme="0"/>
      <name val="Arial"/>
      <family val="2"/>
    </font>
    <font>
      <sz val="10"/>
      <color theme="0"/>
      <name val="Century Gothic"/>
      <family val="2"/>
    </font>
    <font>
      <b/>
      <sz val="48"/>
      <name val="Arial Narrow"/>
      <family val="2"/>
    </font>
    <font>
      <b/>
      <sz val="26"/>
      <name val="Arial Narrow"/>
      <family val="2"/>
    </font>
    <font>
      <sz val="12"/>
      <name val="Arial Narrow"/>
      <family val="2"/>
    </font>
    <font>
      <b/>
      <sz val="20"/>
      <name val="Arial Narrow"/>
      <family val="2"/>
    </font>
    <font>
      <b/>
      <i/>
      <sz val="14"/>
      <name val="Arial Narrow"/>
      <family val="2"/>
    </font>
    <font>
      <b/>
      <sz val="10"/>
      <color theme="1"/>
      <name val="Arial"/>
      <family val="2"/>
      <scheme val="major"/>
    </font>
    <font>
      <sz val="10"/>
      <color theme="1"/>
      <name val="Arial"/>
      <family val="2"/>
      <scheme val="major"/>
    </font>
    <font>
      <b/>
      <sz val="14"/>
      <name val="Arial Narrow"/>
      <family val="2"/>
    </font>
    <font>
      <b/>
      <sz val="10"/>
      <color theme="1" tint="0.499984740745262"/>
      <name val="Arial Narrow"/>
      <family val="2"/>
    </font>
    <font>
      <b/>
      <sz val="10"/>
      <color theme="9" tint="-0.499984740745262"/>
      <name val="Arial Narrow"/>
      <family val="2"/>
    </font>
    <font>
      <sz val="10"/>
      <color theme="9" tint="-0.499984740745262"/>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11"/>
      <color indexed="12"/>
      <name val="Calibri"/>
      <family val="2"/>
    </font>
    <font>
      <u/>
      <sz val="12"/>
      <color theme="10"/>
      <name val="Arial"/>
      <family val="2"/>
    </font>
    <font>
      <sz val="11"/>
      <color indexed="52"/>
      <name val="Calibri"/>
      <family val="2"/>
    </font>
    <font>
      <sz val="11"/>
      <color indexed="60"/>
      <name val="Calibri"/>
      <family val="2"/>
    </font>
    <font>
      <sz val="11"/>
      <color theme="1"/>
      <name val="Arial"/>
      <family val="2"/>
      <scheme val="minor"/>
    </font>
    <font>
      <sz val="10"/>
      <name val="Courier"/>
      <family val="3"/>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C00000"/>
      <name val="Arial"/>
      <family val="2"/>
    </font>
    <font>
      <sz val="11"/>
      <color rgb="FF000000"/>
      <name val="Calibri"/>
      <family val="2"/>
      <charset val="204"/>
    </font>
    <font>
      <i/>
      <u/>
      <sz val="10"/>
      <name val="Arial"/>
      <family val="2"/>
    </font>
    <font>
      <i/>
      <u/>
      <sz val="10"/>
      <color rgb="FFC00000"/>
      <name val="Arial"/>
      <family val="2"/>
    </font>
    <font>
      <sz val="10"/>
      <color theme="1" tint="0.34998626667073579"/>
      <name val="Arial Narrow"/>
      <family val="2"/>
    </font>
    <font>
      <i/>
      <sz val="10"/>
      <name val="Arial Narrow"/>
      <family val="2"/>
    </font>
    <font>
      <b/>
      <sz val="10"/>
      <color rgb="FF0000FF"/>
      <name val="Arial"/>
      <family val="2"/>
    </font>
    <font>
      <sz val="10"/>
      <color theme="0"/>
      <name val="Arial"/>
      <family val="2"/>
    </font>
    <font>
      <sz val="10"/>
      <color theme="1"/>
      <name val="Arial"/>
      <family val="2"/>
      <scheme val="minor"/>
    </font>
    <font>
      <b/>
      <u/>
      <sz val="12"/>
      <color theme="1"/>
      <name val="Arial"/>
      <family val="2"/>
      <scheme val="minor"/>
    </font>
    <font>
      <sz val="10"/>
      <name val="HLV"/>
    </font>
    <font>
      <b/>
      <sz val="14"/>
      <name val="Arial"/>
      <family val="2"/>
    </font>
    <font>
      <sz val="10"/>
      <color theme="9" tint="0.39997558519241921"/>
      <name val="Arial"/>
      <family val="2"/>
    </font>
    <font>
      <sz val="10"/>
      <color rgb="FF0000FF"/>
      <name val="Arial"/>
      <family val="2"/>
    </font>
    <font>
      <sz val="10"/>
      <color theme="10"/>
      <name val="Arial"/>
      <family val="2"/>
    </font>
    <font>
      <sz val="10"/>
      <color theme="10"/>
      <name val="Arial"/>
      <family val="2"/>
      <scheme val="major"/>
    </font>
    <font>
      <sz val="10"/>
      <color theme="1" tint="0.14999847407452621"/>
      <name val="Arial Narrow"/>
      <family val="2"/>
    </font>
    <font>
      <b/>
      <sz val="10"/>
      <color theme="1" tint="0.14999847407452621"/>
      <name val="Arial Narrow"/>
      <family val="2"/>
    </font>
  </fonts>
  <fills count="47">
    <fill>
      <patternFill patternType="none"/>
    </fill>
    <fill>
      <patternFill patternType="gray125"/>
    </fill>
    <fill>
      <patternFill patternType="solid">
        <fgColor indexed="47"/>
      </patternFill>
    </fill>
    <fill>
      <patternFill patternType="solid">
        <fgColor indexed="9"/>
        <bgColor indexed="9"/>
      </patternFill>
    </fill>
    <fill>
      <patternFill patternType="solid">
        <fgColor theme="6" tint="0.3999755851924192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FF00"/>
        <bgColor indexed="64"/>
      </patternFill>
    </fill>
    <fill>
      <patternFill patternType="solid">
        <fgColor rgb="FFB5D334"/>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D9D9D9"/>
        <bgColor indexed="64"/>
      </patternFill>
    </fill>
    <fill>
      <patternFill patternType="solid">
        <fgColor theme="3" tint="-0.249977111117893"/>
        <bgColor indexed="64"/>
      </patternFill>
    </fill>
    <fill>
      <patternFill patternType="solid">
        <fgColor rgb="FFB5D334"/>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8DF3E7"/>
        <bgColor indexed="64"/>
      </patternFill>
    </fill>
    <fill>
      <patternFill patternType="solid">
        <fgColor rgb="FFCCFF99"/>
        <bgColor indexed="64"/>
      </patternFill>
    </fill>
    <fill>
      <patternFill patternType="solid">
        <fgColor theme="5"/>
        <bgColor indexed="64"/>
      </patternFill>
    </fill>
    <fill>
      <patternFill patternType="solid">
        <fgColor theme="0"/>
        <bgColor indexed="64"/>
      </patternFill>
    </fill>
    <fill>
      <patternFill patternType="solid">
        <fgColor rgb="FF0070C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style="dotted">
        <color indexed="64"/>
      </right>
      <top/>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otted">
        <color indexed="64"/>
      </left>
      <right style="thin">
        <color indexed="64"/>
      </right>
      <top/>
      <bottom/>
      <diagonal/>
    </border>
    <border>
      <left/>
      <right/>
      <top style="thin">
        <color indexed="64"/>
      </top>
      <bottom style="medium">
        <color indexed="64"/>
      </bottom>
      <diagonal/>
    </border>
    <border>
      <left style="double">
        <color indexed="64"/>
      </left>
      <right style="thin">
        <color indexed="64"/>
      </right>
      <top/>
      <bottom style="medium">
        <color indexed="64"/>
      </bottom>
      <diagonal/>
    </border>
    <border>
      <left/>
      <right style="double">
        <color indexed="64"/>
      </right>
      <top style="thin">
        <color indexed="64"/>
      </top>
      <bottom style="medium">
        <color indexed="64"/>
      </bottom>
      <diagonal/>
    </border>
    <border>
      <left/>
      <right style="double">
        <color indexed="64"/>
      </right>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bottom style="medium">
        <color indexed="64"/>
      </bottom>
      <diagonal/>
    </border>
    <border>
      <left style="thin">
        <color indexed="64"/>
      </left>
      <right style="double">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thin">
        <color theme="1"/>
      </right>
      <top/>
      <bottom/>
      <diagonal/>
    </border>
    <border>
      <left style="thin">
        <color theme="1"/>
      </left>
      <right/>
      <top/>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theme="1"/>
      </right>
      <top/>
      <bottom style="thin">
        <color indexed="64"/>
      </bottom>
      <diagonal/>
    </border>
    <border>
      <left/>
      <right/>
      <top style="thin">
        <color theme="1"/>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theme="1"/>
      </top>
      <bottom style="thin">
        <color theme="1"/>
      </bottom>
      <diagonal/>
    </border>
    <border>
      <left/>
      <right style="thin">
        <color theme="1"/>
      </right>
      <top style="thin">
        <color indexed="64"/>
      </top>
      <bottom style="thin">
        <color theme="1"/>
      </bottom>
      <diagonal/>
    </border>
    <border>
      <left/>
      <right style="thin">
        <color theme="1"/>
      </right>
      <top style="thin">
        <color theme="1"/>
      </top>
      <bottom style="thin">
        <color theme="1"/>
      </bottom>
      <diagonal/>
    </border>
    <border>
      <left/>
      <right style="dotted">
        <color indexed="64"/>
      </right>
      <top style="thin">
        <color theme="1"/>
      </top>
      <bottom style="thin">
        <color theme="1"/>
      </bottom>
      <diagonal/>
    </border>
    <border>
      <left/>
      <right/>
      <top/>
      <bottom style="thin">
        <color theme="1"/>
      </bottom>
      <diagonal/>
    </border>
    <border>
      <left/>
      <right style="thin">
        <color theme="1"/>
      </right>
      <top/>
      <bottom style="thin">
        <color theme="1"/>
      </bottom>
      <diagonal/>
    </border>
    <border>
      <left/>
      <right/>
      <top style="thin">
        <color theme="1"/>
      </top>
      <bottom style="medium">
        <color theme="1"/>
      </bottom>
      <diagonal/>
    </border>
    <border>
      <left/>
      <right/>
      <top style="medium">
        <color theme="1"/>
      </top>
      <bottom/>
      <diagonal/>
    </border>
    <border>
      <left/>
      <right style="thin">
        <color indexed="64"/>
      </right>
      <top style="medium">
        <color theme="1"/>
      </top>
      <bottom/>
      <diagonal/>
    </border>
    <border>
      <left style="thin">
        <color indexed="64"/>
      </left>
      <right/>
      <top style="thin">
        <color theme="1"/>
      </top>
      <bottom style="medium">
        <color theme="1"/>
      </bottom>
      <diagonal/>
    </border>
    <border>
      <left style="thin">
        <color indexed="64"/>
      </left>
      <right/>
      <top style="medium">
        <color theme="1"/>
      </top>
      <bottom/>
      <diagonal/>
    </border>
    <border>
      <left/>
      <right style="thin">
        <color indexed="64"/>
      </right>
      <top/>
      <bottom style="thin">
        <color theme="1"/>
      </bottom>
      <diagonal/>
    </border>
    <border>
      <left/>
      <right style="thin">
        <color indexed="64"/>
      </right>
      <top style="thin">
        <color theme="1"/>
      </top>
      <bottom style="medium">
        <color theme="1"/>
      </bottom>
      <diagonal/>
    </border>
    <border>
      <left style="thin">
        <color indexed="64"/>
      </left>
      <right/>
      <top/>
      <bottom style="thin">
        <color theme="1"/>
      </bottom>
      <diagonal/>
    </border>
    <border>
      <left/>
      <right style="thin">
        <color indexed="64"/>
      </right>
      <top style="thin">
        <color theme="1"/>
      </top>
      <bottom style="thin">
        <color theme="1"/>
      </bottom>
      <diagonal/>
    </border>
    <border>
      <left/>
      <right style="dotted">
        <color indexed="64"/>
      </right>
      <top/>
      <bottom style="thin">
        <color theme="1"/>
      </bottom>
      <diagonal/>
    </border>
    <border>
      <left style="thin">
        <color theme="1"/>
      </left>
      <right/>
      <top style="thin">
        <color indexed="64"/>
      </top>
      <bottom style="thin">
        <color indexed="64"/>
      </bottom>
      <diagonal/>
    </border>
    <border>
      <left/>
      <right style="thin">
        <color indexed="64"/>
      </right>
      <top style="thin">
        <color theme="1"/>
      </top>
      <bottom/>
      <diagonal/>
    </border>
    <border>
      <left style="thin">
        <color indexed="64"/>
      </left>
      <right/>
      <top style="thin">
        <color theme="1"/>
      </top>
      <bottom/>
      <diagonal/>
    </border>
    <border>
      <left/>
      <right/>
      <top style="thin">
        <color theme="1"/>
      </top>
      <bottom style="medium">
        <color indexed="64"/>
      </bottom>
      <diagonal/>
    </border>
    <border>
      <left/>
      <right style="thin">
        <color indexed="64"/>
      </right>
      <top style="thin">
        <color theme="1"/>
      </top>
      <bottom style="medium">
        <color indexed="64"/>
      </bottom>
      <diagonal/>
    </border>
    <border>
      <left style="thin">
        <color indexed="64"/>
      </left>
      <right style="thin">
        <color indexed="64"/>
      </right>
      <top style="thin">
        <color theme="1"/>
      </top>
      <bottom style="medium">
        <color indexed="64"/>
      </bottom>
      <diagonal/>
    </border>
    <border>
      <left style="dotted">
        <color indexed="64"/>
      </left>
      <right/>
      <top/>
      <bottom/>
      <diagonal/>
    </border>
    <border>
      <left style="dotted">
        <color indexed="64"/>
      </left>
      <right/>
      <top/>
      <bottom style="thin">
        <color theme="1"/>
      </bottom>
      <diagonal/>
    </border>
    <border>
      <left style="dotted">
        <color indexed="64"/>
      </left>
      <right/>
      <top style="thin">
        <color theme="1"/>
      </top>
      <bottom style="thin">
        <color indexed="64"/>
      </bottom>
      <diagonal/>
    </border>
    <border>
      <left style="thin">
        <color theme="1"/>
      </left>
      <right/>
      <top style="thin">
        <color theme="1"/>
      </top>
      <bottom style="medium">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1"/>
      </right>
      <top style="thin">
        <color indexed="64"/>
      </top>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thin">
        <color theme="1"/>
      </left>
      <right/>
      <top/>
      <bottom style="thin">
        <color indexed="64"/>
      </bottom>
      <diagonal/>
    </border>
    <border>
      <left style="thin">
        <color indexed="64"/>
      </left>
      <right style="thin">
        <color indexed="64"/>
      </right>
      <top/>
      <bottom style="thin">
        <color theme="1"/>
      </bottom>
      <diagonal/>
    </border>
    <border>
      <left style="thin">
        <color indexed="64"/>
      </left>
      <right style="thin">
        <color indexed="64"/>
      </right>
      <top style="thin">
        <color theme="1"/>
      </top>
      <bottom/>
      <diagonal/>
    </border>
    <border>
      <left/>
      <right style="double">
        <color indexed="64"/>
      </right>
      <top/>
      <bottom/>
      <diagonal/>
    </border>
  </borders>
  <cellStyleXfs count="87">
    <xf numFmtId="0" fontId="0" fillId="0" borderId="0"/>
    <xf numFmtId="2" fontId="18" fillId="0" borderId="0">
      <alignment horizontal="left" vertical="top"/>
    </xf>
    <xf numFmtId="1" fontId="19" fillId="0" borderId="0">
      <alignment horizontal="left" vertical="top"/>
    </xf>
    <xf numFmtId="0" fontId="26" fillId="0" borderId="0" applyNumberFormat="0" applyFill="0" applyBorder="0" applyAlignment="0" applyProtection="0"/>
    <xf numFmtId="0" fontId="14" fillId="2" borderId="1" applyNumberFormat="0" applyAlignment="0" applyProtection="0"/>
    <xf numFmtId="166" fontId="6" fillId="4" borderId="1" applyNumberFormat="0">
      <alignment vertical="center"/>
    </xf>
    <xf numFmtId="0" fontId="6" fillId="0" borderId="0"/>
    <xf numFmtId="0" fontId="7" fillId="3" borderId="0"/>
    <xf numFmtId="0" fontId="7" fillId="3" borderId="0"/>
    <xf numFmtId="0" fontId="7" fillId="3" borderId="0"/>
    <xf numFmtId="0" fontId="7" fillId="3" borderId="0"/>
    <xf numFmtId="0" fontId="7" fillId="3" borderId="0"/>
    <xf numFmtId="0" fontId="7" fillId="3" borderId="0"/>
    <xf numFmtId="0" fontId="7" fillId="3" borderId="0"/>
    <xf numFmtId="0" fontId="7" fillId="3" borderId="0"/>
    <xf numFmtId="0" fontId="4" fillId="0" borderId="0"/>
    <xf numFmtId="0" fontId="5" fillId="0" borderId="0"/>
    <xf numFmtId="0" fontId="8" fillId="0" borderId="0"/>
    <xf numFmtId="0" fontId="60"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4" borderId="0" applyNumberFormat="0" applyBorder="0" applyAlignment="0" applyProtection="0"/>
    <xf numFmtId="0" fontId="60" fillId="26" borderId="0" applyNumberFormat="0" applyBorder="0" applyAlignment="0" applyProtection="0"/>
    <xf numFmtId="0" fontId="60" fillId="29" borderId="0" applyNumberFormat="0" applyBorder="0" applyAlignment="0" applyProtection="0"/>
    <xf numFmtId="0" fontId="61" fillId="30" borderId="0" applyNumberFormat="0" applyBorder="0" applyAlignment="0" applyProtection="0"/>
    <xf numFmtId="0" fontId="61" fillId="27" borderId="0" applyNumberFormat="0" applyBorder="0" applyAlignment="0" applyProtection="0"/>
    <xf numFmtId="0" fontId="61" fillId="28"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36"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1" fillId="37" borderId="0" applyNumberFormat="0" applyBorder="0" applyAlignment="0" applyProtection="0"/>
    <xf numFmtId="0" fontId="62" fillId="22" borderId="0" applyNumberFormat="0" applyBorder="0" applyAlignment="0" applyProtection="0"/>
    <xf numFmtId="0" fontId="63" fillId="38" borderId="1" applyNumberFormat="0" applyAlignment="0" applyProtection="0"/>
    <xf numFmtId="0" fontId="64" fillId="39" borderId="79" applyNumberFormat="0" applyAlignment="0" applyProtection="0"/>
    <xf numFmtId="168" fontId="5" fillId="0" borderId="0" applyFont="0" applyFill="0" applyBorder="0" applyAlignment="0" applyProtection="0"/>
    <xf numFmtId="167" fontId="5" fillId="0" borderId="0" applyFont="0" applyFill="0" applyBorder="0" applyAlignment="0" applyProtection="0"/>
    <xf numFmtId="0" fontId="65" fillId="0" borderId="0" applyNumberFormat="0" applyFill="0" applyBorder="0" applyAlignment="0" applyProtection="0"/>
    <xf numFmtId="0" fontId="66" fillId="23" borderId="0" applyNumberFormat="0" applyBorder="0" applyAlignment="0" applyProtection="0"/>
    <xf numFmtId="0" fontId="67" fillId="0" borderId="80" applyNumberFormat="0" applyFill="0" applyAlignment="0" applyProtection="0"/>
    <xf numFmtId="0" fontId="68" fillId="0" borderId="81" applyNumberFormat="0" applyFill="0" applyAlignment="0" applyProtection="0"/>
    <xf numFmtId="0" fontId="69" fillId="0" borderId="82"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xf numFmtId="0" fontId="73" fillId="0" borderId="83" applyNumberFormat="0" applyFill="0" applyAlignment="0" applyProtection="0"/>
    <xf numFmtId="0" fontId="74" fillId="40" borderId="0" applyNumberFormat="0" applyBorder="0" applyAlignment="0" applyProtection="0"/>
    <xf numFmtId="0" fontId="4" fillId="0" borderId="0"/>
    <xf numFmtId="0" fontId="4" fillId="0" borderId="0"/>
    <xf numFmtId="0" fontId="75" fillId="0" borderId="0"/>
    <xf numFmtId="0" fontId="5" fillId="0" borderId="0"/>
    <xf numFmtId="0" fontId="76" fillId="0" borderId="0"/>
    <xf numFmtId="0" fontId="5" fillId="0" borderId="0"/>
    <xf numFmtId="0" fontId="7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41" borderId="84" applyNumberFormat="0" applyFont="0" applyAlignment="0" applyProtection="0"/>
    <xf numFmtId="0" fontId="77" fillId="38" borderId="85" applyNumberFormat="0" applyAlignment="0" applyProtection="0"/>
    <xf numFmtId="9" fontId="5" fillId="0" borderId="0" applyFont="0" applyFill="0" applyBorder="0" applyAlignment="0" applyProtection="0"/>
    <xf numFmtId="9" fontId="4" fillId="0" borderId="0" applyFont="0" applyFill="0" applyBorder="0" applyAlignment="0" applyProtection="0"/>
    <xf numFmtId="0" fontId="78" fillId="0" borderId="0" applyNumberFormat="0" applyFill="0" applyBorder="0" applyAlignment="0" applyProtection="0"/>
    <xf numFmtId="0" fontId="79" fillId="0" borderId="86" applyNumberFormat="0" applyFill="0" applyAlignment="0" applyProtection="0"/>
    <xf numFmtId="0" fontId="80" fillId="0" borderId="0" applyNumberFormat="0" applyFill="0" applyBorder="0" applyAlignment="0" applyProtection="0"/>
    <xf numFmtId="0" fontId="2" fillId="0" borderId="0"/>
    <xf numFmtId="0" fontId="82"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8" fillId="0" borderId="0"/>
  </cellStyleXfs>
  <cellXfs count="1051">
    <xf numFmtId="0" fontId="0" fillId="0" borderId="0" xfId="0"/>
    <xf numFmtId="0" fontId="0" fillId="0" borderId="0" xfId="0" applyFont="1"/>
    <xf numFmtId="0" fontId="6" fillId="0" borderId="0" xfId="0" applyFont="1" applyFill="1" applyBorder="1"/>
    <xf numFmtId="0" fontId="6" fillId="0" borderId="0" xfId="0" applyFont="1" applyFill="1" applyBorder="1" applyAlignment="1">
      <alignment horizontal="center"/>
    </xf>
    <xf numFmtId="9" fontId="6" fillId="0" borderId="0" xfId="0" applyNumberFormat="1" applyFont="1" applyFill="1" applyBorder="1"/>
    <xf numFmtId="0" fontId="6" fillId="0" borderId="0" xfId="0" applyFont="1"/>
    <xf numFmtId="0" fontId="6" fillId="0" borderId="0" xfId="0" applyFont="1" applyProtection="1"/>
    <xf numFmtId="169" fontId="6" fillId="0" borderId="0" xfId="0" applyNumberFormat="1" applyFont="1"/>
    <xf numFmtId="10" fontId="6" fillId="0" borderId="0" xfId="0" applyNumberFormat="1" applyFont="1" applyFill="1" applyBorder="1"/>
    <xf numFmtId="4" fontId="6" fillId="0" borderId="0" xfId="0" applyNumberFormat="1" applyFont="1" applyFill="1" applyBorder="1"/>
    <xf numFmtId="172" fontId="6" fillId="0" borderId="0" xfId="0" applyNumberFormat="1" applyFont="1" applyFill="1" applyBorder="1"/>
    <xf numFmtId="164" fontId="6" fillId="0" borderId="0" xfId="0" applyNumberFormat="1" applyFont="1" applyFill="1" applyBorder="1"/>
    <xf numFmtId="3" fontId="6" fillId="0" borderId="0" xfId="0" applyNumberFormat="1" applyFont="1" applyFill="1" applyBorder="1" applyAlignment="1">
      <alignment horizontal="center"/>
    </xf>
    <xf numFmtId="3" fontId="6" fillId="0" borderId="0" xfId="0" applyNumberFormat="1" applyFont="1" applyFill="1" applyBorder="1"/>
    <xf numFmtId="0" fontId="12" fillId="0" borderId="0" xfId="0" applyFont="1" applyFill="1" applyBorder="1" applyAlignment="1">
      <alignment horizontal="left"/>
    </xf>
    <xf numFmtId="0" fontId="6" fillId="0" borderId="44" xfId="0" applyFont="1" applyFill="1" applyBorder="1"/>
    <xf numFmtId="0" fontId="6" fillId="0" borderId="0" xfId="0" applyFont="1" applyBorder="1"/>
    <xf numFmtId="3" fontId="6" fillId="0" borderId="45" xfId="0" applyNumberFormat="1" applyFont="1" applyFill="1" applyBorder="1" applyAlignment="1">
      <alignment horizontal="center"/>
    </xf>
    <xf numFmtId="0" fontId="6" fillId="0" borderId="46" xfId="0" applyFont="1" applyFill="1" applyBorder="1" applyAlignment="1">
      <alignment horizontal="center"/>
    </xf>
    <xf numFmtId="0" fontId="12" fillId="0" borderId="0" xfId="0" applyFont="1" applyFill="1" applyBorder="1" applyAlignment="1">
      <alignment horizontal="center"/>
    </xf>
    <xf numFmtId="0" fontId="6" fillId="0" borderId="14" xfId="0" applyFont="1" applyFill="1" applyBorder="1"/>
    <xf numFmtId="0" fontId="6" fillId="0" borderId="10" xfId="0" applyFont="1" applyFill="1" applyBorder="1"/>
    <xf numFmtId="0" fontId="6" fillId="0" borderId="17" xfId="0" applyFont="1" applyFill="1" applyBorder="1"/>
    <xf numFmtId="0" fontId="6" fillId="0" borderId="0" xfId="0" applyFont="1" applyFill="1" applyBorder="1" applyAlignment="1">
      <alignment horizontal="left" vertical="top" wrapText="1"/>
    </xf>
    <xf numFmtId="0" fontId="6" fillId="0" borderId="0" xfId="0" applyFont="1" applyFill="1" applyBorder="1" applyAlignment="1">
      <alignment horizontal="center" vertical="top" wrapText="1"/>
    </xf>
    <xf numFmtId="0" fontId="6" fillId="0" borderId="13" xfId="0" applyFont="1" applyFill="1" applyBorder="1" applyAlignment="1"/>
    <xf numFmtId="0" fontId="6" fillId="0" borderId="9" xfId="0" applyFont="1" applyFill="1" applyBorder="1" applyAlignment="1">
      <alignment horizontal="left" vertical="top" wrapText="1"/>
    </xf>
    <xf numFmtId="164" fontId="27" fillId="0" borderId="0" xfId="0" applyNumberFormat="1" applyFont="1" applyAlignment="1"/>
    <xf numFmtId="0" fontId="13" fillId="0" borderId="0" xfId="0" applyFont="1" applyFill="1" applyBorder="1"/>
    <xf numFmtId="164" fontId="28" fillId="0" borderId="0" xfId="0" applyNumberFormat="1" applyFont="1" applyFill="1" applyBorder="1"/>
    <xf numFmtId="0" fontId="28" fillId="0" borderId="0" xfId="0" applyFont="1" applyAlignment="1">
      <alignment horizontal="center"/>
    </xf>
    <xf numFmtId="0" fontId="28" fillId="0" borderId="0" xfId="0" applyFont="1" applyAlignment="1">
      <alignment horizontal="center" vertical="center"/>
    </xf>
    <xf numFmtId="0" fontId="6" fillId="0" borderId="47" xfId="0" applyFont="1" applyFill="1" applyBorder="1" applyAlignment="1">
      <alignment horizontal="center"/>
    </xf>
    <xf numFmtId="0" fontId="6" fillId="0" borderId="9" xfId="0" applyFont="1" applyFill="1" applyBorder="1"/>
    <xf numFmtId="3" fontId="6" fillId="0" borderId="9" xfId="0" applyNumberFormat="1" applyFont="1" applyFill="1" applyBorder="1" applyAlignment="1">
      <alignment horizontal="center"/>
    </xf>
    <xf numFmtId="3" fontId="6" fillId="0" borderId="14" xfId="0" applyNumberFormat="1" applyFont="1" applyFill="1" applyBorder="1" applyAlignment="1">
      <alignment horizontal="center"/>
    </xf>
    <xf numFmtId="3" fontId="6" fillId="0" borderId="14" xfId="0" applyNumberFormat="1" applyFont="1" applyFill="1" applyBorder="1"/>
    <xf numFmtId="0" fontId="6" fillId="0" borderId="49" xfId="0" applyFont="1" applyFill="1" applyBorder="1"/>
    <xf numFmtId="3" fontId="6" fillId="0" borderId="10" xfId="0" applyNumberFormat="1" applyFont="1" applyFill="1" applyBorder="1" applyAlignment="1">
      <alignment horizontal="center"/>
    </xf>
    <xf numFmtId="3" fontId="13" fillId="0" borderId="0" xfId="0" applyNumberFormat="1" applyFont="1" applyFill="1" applyBorder="1" applyAlignment="1">
      <alignment horizontal="center"/>
    </xf>
    <xf numFmtId="9" fontId="13" fillId="0" borderId="0" xfId="0" applyNumberFormat="1" applyFont="1" applyFill="1" applyBorder="1" applyAlignment="1">
      <alignment horizontal="right"/>
    </xf>
    <xf numFmtId="0" fontId="6" fillId="0" borderId="50" xfId="0" applyFont="1" applyFill="1" applyBorder="1" applyAlignment="1">
      <alignment horizontal="center"/>
    </xf>
    <xf numFmtId="0" fontId="6" fillId="0" borderId="51" xfId="0" applyFont="1" applyFill="1" applyBorder="1" applyAlignment="1">
      <alignment horizontal="center"/>
    </xf>
    <xf numFmtId="0" fontId="6" fillId="0" borderId="52" xfId="0" applyFont="1" applyFill="1" applyBorder="1" applyAlignment="1">
      <alignment horizontal="center"/>
    </xf>
    <xf numFmtId="0" fontId="6" fillId="0" borderId="53" xfId="0" applyFont="1" applyFill="1" applyBorder="1" applyAlignment="1">
      <alignment horizontal="center"/>
    </xf>
    <xf numFmtId="0" fontId="28" fillId="0" borderId="0" xfId="0" applyFont="1" applyAlignment="1">
      <alignment horizontal="center"/>
    </xf>
    <xf numFmtId="0" fontId="6" fillId="0" borderId="13" xfId="0" applyFont="1" applyFill="1" applyBorder="1" applyAlignment="1">
      <alignment horizontal="center"/>
    </xf>
    <xf numFmtId="0" fontId="28" fillId="0" borderId="0" xfId="0" applyFont="1" applyAlignment="1">
      <alignment horizontal="center"/>
    </xf>
    <xf numFmtId="0" fontId="12" fillId="0" borderId="54" xfId="0" applyFont="1" applyFill="1" applyBorder="1" applyAlignment="1">
      <alignment horizontal="center"/>
    </xf>
    <xf numFmtId="0" fontId="12" fillId="0" borderId="55" xfId="0" applyFont="1" applyFill="1" applyBorder="1" applyAlignment="1">
      <alignment horizontal="center"/>
    </xf>
    <xf numFmtId="0" fontId="12" fillId="0" borderId="46" xfId="0" applyFont="1" applyFill="1" applyBorder="1" applyAlignment="1">
      <alignment horizontal="center"/>
    </xf>
    <xf numFmtId="0" fontId="12" fillId="0" borderId="50" xfId="0" applyFont="1" applyFill="1" applyBorder="1" applyAlignment="1">
      <alignment horizontal="center"/>
    </xf>
    <xf numFmtId="0" fontId="12" fillId="0" borderId="51" xfId="0" applyFont="1" applyFill="1" applyBorder="1" applyAlignment="1">
      <alignment horizontal="center"/>
    </xf>
    <xf numFmtId="0" fontId="12" fillId="0" borderId="52" xfId="0" applyFont="1" applyFill="1" applyBorder="1" applyAlignment="1">
      <alignment horizontal="center"/>
    </xf>
    <xf numFmtId="0" fontId="6" fillId="0" borderId="56" xfId="0" applyFont="1" applyFill="1" applyBorder="1" applyAlignment="1">
      <alignment horizontal="center"/>
    </xf>
    <xf numFmtId="0" fontId="12" fillId="0" borderId="0" xfId="0" applyFont="1" applyFill="1" applyBorder="1" applyAlignment="1">
      <alignment horizontal="center" vertical="top" wrapText="1"/>
    </xf>
    <xf numFmtId="0" fontId="12" fillId="0" borderId="16" xfId="0" applyFont="1" applyFill="1" applyBorder="1" applyAlignment="1">
      <alignment horizontal="center" vertical="top" wrapText="1"/>
    </xf>
    <xf numFmtId="0" fontId="12" fillId="0" borderId="0" xfId="0" applyFont="1" applyFill="1" applyBorder="1" applyAlignment="1">
      <alignment horizontal="center" wrapText="1"/>
    </xf>
    <xf numFmtId="0" fontId="6" fillId="0" borderId="7" xfId="0" applyFont="1" applyFill="1" applyBorder="1" applyAlignment="1">
      <alignment horizontal="center" wrapText="1"/>
    </xf>
    <xf numFmtId="0" fontId="6" fillId="0" borderId="11" xfId="0" applyFont="1" applyBorder="1" applyAlignment="1">
      <alignment horizontal="center"/>
    </xf>
    <xf numFmtId="0" fontId="6" fillId="0" borderId="57" xfId="0" applyFont="1" applyFill="1" applyBorder="1" applyAlignment="1">
      <alignment horizontal="center"/>
    </xf>
    <xf numFmtId="0" fontId="12" fillId="0" borderId="58" xfId="0" applyFont="1" applyFill="1" applyBorder="1" applyAlignment="1">
      <alignment horizontal="center"/>
    </xf>
    <xf numFmtId="0" fontId="6" fillId="0" borderId="0" xfId="0" applyFont="1" applyFill="1" applyBorder="1" applyAlignment="1">
      <alignment horizontal="left"/>
    </xf>
    <xf numFmtId="3" fontId="6" fillId="0" borderId="0" xfId="0" applyNumberFormat="1" applyFont="1" applyFill="1" applyBorder="1" applyAlignment="1">
      <alignment horizontal="left"/>
    </xf>
    <xf numFmtId="3" fontId="6" fillId="0" borderId="14" xfId="0" applyNumberFormat="1" applyFont="1" applyFill="1" applyBorder="1" applyAlignment="1">
      <alignment horizontal="left"/>
    </xf>
    <xf numFmtId="0" fontId="28" fillId="0" borderId="0" xfId="0" applyFont="1" applyAlignment="1">
      <alignment horizontal="center"/>
    </xf>
    <xf numFmtId="0" fontId="6" fillId="0" borderId="57" xfId="0" applyFont="1" applyFill="1" applyBorder="1" applyAlignment="1">
      <alignment horizontal="center" vertical="top" wrapText="1"/>
    </xf>
    <xf numFmtId="0" fontId="29" fillId="0" borderId="0" xfId="0" applyFont="1"/>
    <xf numFmtId="0" fontId="6" fillId="0" borderId="0" xfId="0" applyFont="1" applyAlignment="1">
      <alignment horizontal="center"/>
    </xf>
    <xf numFmtId="0" fontId="6" fillId="0" borderId="0" xfId="0" applyFont="1" applyFill="1"/>
    <xf numFmtId="0" fontId="9" fillId="0" borderId="0" xfId="0" applyFont="1" applyFill="1" applyBorder="1"/>
    <xf numFmtId="0" fontId="6" fillId="0" borderId="60" xfId="0" applyFont="1" applyFill="1" applyBorder="1"/>
    <xf numFmtId="0" fontId="6" fillId="0" borderId="46" xfId="0" applyFont="1" applyBorder="1"/>
    <xf numFmtId="0" fontId="6" fillId="0" borderId="0" xfId="0" applyFont="1" applyBorder="1" applyAlignment="1">
      <alignment horizontal="center"/>
    </xf>
    <xf numFmtId="3" fontId="9" fillId="10" borderId="49" xfId="0" applyNumberFormat="1" applyFont="1" applyFill="1" applyBorder="1"/>
    <xf numFmtId="0" fontId="6" fillId="0" borderId="0" xfId="0" applyFont="1" applyBorder="1" applyAlignment="1">
      <alignment horizontal="center" wrapText="1"/>
    </xf>
    <xf numFmtId="0" fontId="6" fillId="0" borderId="0" xfId="0" applyFont="1" applyFill="1" applyBorder="1" applyAlignment="1"/>
    <xf numFmtId="0" fontId="28" fillId="0" borderId="0" xfId="0" applyFont="1"/>
    <xf numFmtId="0" fontId="30" fillId="0" borderId="0" xfId="0" applyFont="1"/>
    <xf numFmtId="0" fontId="30" fillId="0" borderId="0" xfId="0" applyFont="1" applyAlignment="1">
      <alignment horizontal="center"/>
    </xf>
    <xf numFmtId="4" fontId="30" fillId="0" borderId="0" xfId="0" applyNumberFormat="1" applyFont="1" applyAlignment="1">
      <alignment horizontal="center"/>
    </xf>
    <xf numFmtId="0" fontId="30" fillId="0" borderId="0" xfId="0" applyFont="1" applyFill="1"/>
    <xf numFmtId="0" fontId="30" fillId="0" borderId="0" xfId="0" applyFont="1" applyFill="1" applyAlignment="1">
      <alignment horizontal="center"/>
    </xf>
    <xf numFmtId="4" fontId="30" fillId="0" borderId="0" xfId="0" applyNumberFormat="1" applyFont="1" applyFill="1" applyAlignment="1">
      <alignment horizontal="center"/>
    </xf>
    <xf numFmtId="0" fontId="28" fillId="0" borderId="0" xfId="0" applyFont="1" applyFill="1" applyBorder="1"/>
    <xf numFmtId="4" fontId="28" fillId="0" borderId="0" xfId="0" applyNumberFormat="1" applyFont="1" applyAlignment="1">
      <alignment horizontal="center"/>
    </xf>
    <xf numFmtId="0" fontId="9" fillId="3" borderId="9" xfId="0" applyFont="1" applyFill="1" applyBorder="1"/>
    <xf numFmtId="0" fontId="9" fillId="3" borderId="10" xfId="0" applyFont="1" applyFill="1" applyBorder="1"/>
    <xf numFmtId="0" fontId="6" fillId="0" borderId="14" xfId="0" applyFont="1" applyBorder="1"/>
    <xf numFmtId="0" fontId="10" fillId="0" borderId="9" xfId="0" applyFont="1" applyFill="1" applyBorder="1"/>
    <xf numFmtId="0" fontId="6" fillId="0" borderId="16" xfId="0" applyFont="1" applyFill="1" applyBorder="1"/>
    <xf numFmtId="0" fontId="32" fillId="0" borderId="0" xfId="0" applyFont="1" applyFill="1" applyBorder="1" applyAlignment="1">
      <alignment horizontal="center"/>
    </xf>
    <xf numFmtId="0" fontId="28" fillId="0" borderId="0" xfId="0" applyFont="1" applyAlignment="1">
      <alignment horizontal="center"/>
    </xf>
    <xf numFmtId="0" fontId="28" fillId="0" borderId="0" xfId="0" applyFont="1" applyAlignment="1">
      <alignment horizontal="center"/>
    </xf>
    <xf numFmtId="164" fontId="6" fillId="0" borderId="0" xfId="0" applyNumberFormat="1" applyFont="1"/>
    <xf numFmtId="0" fontId="12" fillId="10" borderId="30" xfId="0" applyFont="1" applyFill="1" applyBorder="1"/>
    <xf numFmtId="0" fontId="12" fillId="10" borderId="25" xfId="0" applyFont="1" applyFill="1" applyBorder="1"/>
    <xf numFmtId="182" fontId="12" fillId="10" borderId="24" xfId="0" applyNumberFormat="1" applyFont="1" applyFill="1" applyBorder="1"/>
    <xf numFmtId="0" fontId="6" fillId="0" borderId="47" xfId="0" applyFont="1" applyFill="1" applyBorder="1" applyAlignment="1">
      <alignment horizontal="left"/>
    </xf>
    <xf numFmtId="0" fontId="6" fillId="0" borderId="0" xfId="0" applyFont="1" applyAlignment="1">
      <alignment horizontal="right" indent="1"/>
    </xf>
    <xf numFmtId="0" fontId="6" fillId="0" borderId="0" xfId="0" applyFont="1" applyAlignment="1">
      <alignment horizontal="left" indent="1"/>
    </xf>
    <xf numFmtId="0" fontId="6" fillId="0" borderId="0" xfId="0" applyFont="1" applyAlignment="1"/>
    <xf numFmtId="2" fontId="6" fillId="0" borderId="0" xfId="0" applyNumberFormat="1" applyFont="1" applyAlignment="1">
      <alignment horizontal="center"/>
    </xf>
    <xf numFmtId="0" fontId="6" fillId="0" borderId="0" xfId="0" applyFont="1" applyAlignment="1">
      <alignment horizontal="left"/>
    </xf>
    <xf numFmtId="0" fontId="12" fillId="0" borderId="0" xfId="0" applyFont="1"/>
    <xf numFmtId="0" fontId="15" fillId="0" borderId="0" xfId="0" applyFont="1"/>
    <xf numFmtId="0" fontId="6" fillId="0" borderId="11" xfId="0" applyFont="1" applyFill="1" applyBorder="1" applyAlignment="1">
      <alignment horizontal="center" wrapText="1"/>
    </xf>
    <xf numFmtId="0" fontId="12" fillId="0" borderId="12" xfId="0" applyFont="1" applyBorder="1" applyAlignment="1">
      <alignment horizontal="center"/>
    </xf>
    <xf numFmtId="0" fontId="12" fillId="0" borderId="46" xfId="0" applyFont="1" applyBorder="1"/>
    <xf numFmtId="0" fontId="29" fillId="0" borderId="0" xfId="0" applyFont="1" applyAlignment="1">
      <alignment horizontal="center"/>
    </xf>
    <xf numFmtId="0" fontId="12" fillId="0" borderId="0" xfId="0" applyFont="1" applyAlignment="1">
      <alignment horizontal="center"/>
    </xf>
    <xf numFmtId="0" fontId="28" fillId="0" borderId="0" xfId="6" applyFont="1" applyAlignment="1">
      <alignment horizontal="center"/>
    </xf>
    <xf numFmtId="0" fontId="28" fillId="0" borderId="0" xfId="6" applyFont="1" applyAlignment="1">
      <alignment horizontal="left" indent="1"/>
    </xf>
    <xf numFmtId="0" fontId="28" fillId="0" borderId="0" xfId="6" applyFont="1" applyAlignment="1">
      <alignment horizontal="right"/>
    </xf>
    <xf numFmtId="0" fontId="28" fillId="0" borderId="0" xfId="0" applyFont="1" applyAlignment="1"/>
    <xf numFmtId="4" fontId="6" fillId="0" borderId="0" xfId="0" applyNumberFormat="1" applyFont="1" applyFill="1" applyBorder="1" applyAlignment="1">
      <alignment horizontal="center"/>
    </xf>
    <xf numFmtId="0" fontId="6" fillId="0" borderId="0" xfId="0" applyNumberFormat="1" applyFont="1" applyFill="1" applyBorder="1" applyAlignment="1">
      <alignment horizontal="left" vertical="top" wrapText="1"/>
    </xf>
    <xf numFmtId="173" fontId="9" fillId="3" borderId="9" xfId="0" applyNumberFormat="1" applyFont="1" applyFill="1" applyBorder="1" applyAlignment="1">
      <alignment horizontal="center"/>
    </xf>
    <xf numFmtId="0" fontId="9" fillId="0" borderId="0" xfId="0" applyFont="1" applyFill="1" applyBorder="1" applyAlignment="1"/>
    <xf numFmtId="3" fontId="6" fillId="0" borderId="0" xfId="0" applyNumberFormat="1" applyFont="1" applyFill="1" applyBorder="1" applyAlignment="1"/>
    <xf numFmtId="4" fontId="6" fillId="0" borderId="19" xfId="0" applyNumberFormat="1" applyFont="1" applyFill="1" applyBorder="1" applyAlignment="1"/>
    <xf numFmtId="3" fontId="6" fillId="0" borderId="14" xfId="0" applyNumberFormat="1" applyFont="1" applyFill="1" applyBorder="1" applyAlignment="1"/>
    <xf numFmtId="0" fontId="28" fillId="0" borderId="46" xfId="0" applyFont="1" applyBorder="1"/>
    <xf numFmtId="4" fontId="6" fillId="0" borderId="0" xfId="0" applyNumberFormat="1" applyFont="1" applyAlignment="1">
      <alignment horizontal="center"/>
    </xf>
    <xf numFmtId="0" fontId="6" fillId="0" borderId="0" xfId="6" applyFont="1" applyAlignment="1">
      <alignment horizontal="left"/>
    </xf>
    <xf numFmtId="0" fontId="6" fillId="0" borderId="0" xfId="6" applyFont="1" applyAlignment="1">
      <alignment horizontal="right"/>
    </xf>
    <xf numFmtId="0" fontId="20" fillId="0" borderId="0" xfId="0" applyFont="1" applyAlignment="1">
      <alignment horizontal="left"/>
    </xf>
    <xf numFmtId="1" fontId="6" fillId="0" borderId="0" xfId="0" applyNumberFormat="1" applyFont="1" applyAlignment="1">
      <alignment horizontal="left"/>
    </xf>
    <xf numFmtId="0" fontId="6" fillId="0" borderId="0" xfId="0" applyFont="1" applyBorder="1" applyAlignment="1">
      <alignment horizontal="left"/>
    </xf>
    <xf numFmtId="1" fontId="6" fillId="0" borderId="0" xfId="6" applyNumberFormat="1" applyFont="1" applyAlignment="1">
      <alignment horizontal="left"/>
    </xf>
    <xf numFmtId="0" fontId="28" fillId="0" borderId="0" xfId="0" applyFont="1" applyAlignment="1">
      <alignment horizontal="center"/>
    </xf>
    <xf numFmtId="173" fontId="6" fillId="0" borderId="13" xfId="0" applyNumberFormat="1" applyFont="1" applyFill="1" applyBorder="1" applyAlignment="1">
      <alignment horizontal="center"/>
    </xf>
    <xf numFmtId="173" fontId="6" fillId="0" borderId="0" xfId="0" applyNumberFormat="1" applyFont="1" applyFill="1" applyBorder="1" applyAlignment="1">
      <alignment horizontal="center" vertical="top" wrapText="1"/>
    </xf>
    <xf numFmtId="173" fontId="6" fillId="0" borderId="57" xfId="0" applyNumberFormat="1" applyFont="1" applyFill="1" applyBorder="1" applyAlignment="1">
      <alignment horizontal="center" vertical="top" wrapText="1"/>
    </xf>
    <xf numFmtId="173" fontId="6" fillId="0" borderId="46" xfId="0" applyNumberFormat="1" applyFont="1" applyFill="1" applyBorder="1" applyAlignment="1">
      <alignment horizontal="center"/>
    </xf>
    <xf numFmtId="173" fontId="6" fillId="0" borderId="0" xfId="0" applyNumberFormat="1" applyFont="1" applyFill="1" applyBorder="1" applyAlignment="1">
      <alignment horizontal="center"/>
    </xf>
    <xf numFmtId="173" fontId="12" fillId="10" borderId="30" xfId="0" applyNumberFormat="1" applyFont="1" applyFill="1" applyBorder="1" applyAlignment="1">
      <alignment horizontal="center"/>
    </xf>
    <xf numFmtId="173" fontId="6" fillId="0" borderId="0" xfId="0" applyNumberFormat="1" applyFont="1" applyAlignment="1">
      <alignment horizontal="center"/>
    </xf>
    <xf numFmtId="173" fontId="6" fillId="0" borderId="14" xfId="0" applyNumberFormat="1" applyFont="1" applyFill="1" applyBorder="1" applyAlignment="1">
      <alignment horizontal="center"/>
    </xf>
    <xf numFmtId="0" fontId="28" fillId="0" borderId="0" xfId="0" applyFont="1" applyAlignment="1">
      <alignment horizontal="center"/>
    </xf>
    <xf numFmtId="0" fontId="6" fillId="0" borderId="57" xfId="0" applyFont="1" applyFill="1" applyBorder="1" applyAlignment="1">
      <alignment horizontal="center" vertical="top" wrapText="1"/>
    </xf>
    <xf numFmtId="0" fontId="12" fillId="0" borderId="64" xfId="0" applyFont="1" applyFill="1" applyBorder="1" applyAlignment="1">
      <alignment horizontal="center" vertical="top" wrapText="1"/>
    </xf>
    <xf numFmtId="0" fontId="12" fillId="0" borderId="67" xfId="0" applyFont="1" applyFill="1" applyBorder="1" applyAlignment="1">
      <alignment horizontal="center"/>
    </xf>
    <xf numFmtId="0" fontId="6" fillId="0" borderId="68" xfId="0" applyFont="1" applyFill="1" applyBorder="1" applyAlignment="1">
      <alignment horizontal="center" vertical="top" wrapText="1"/>
    </xf>
    <xf numFmtId="0" fontId="12" fillId="0" borderId="57" xfId="0" applyFont="1" applyFill="1" applyBorder="1" applyAlignment="1">
      <alignment horizontal="center" vertical="top" wrapText="1"/>
    </xf>
    <xf numFmtId="0" fontId="12" fillId="0" borderId="64" xfId="0" applyFont="1" applyFill="1" applyBorder="1" applyAlignment="1">
      <alignment vertical="top" wrapText="1"/>
    </xf>
    <xf numFmtId="0" fontId="12" fillId="0" borderId="69" xfId="0" applyFont="1" applyFill="1" applyBorder="1" applyAlignment="1">
      <alignment horizontal="center"/>
    </xf>
    <xf numFmtId="0" fontId="28" fillId="0" borderId="0" xfId="0" applyFont="1" applyAlignment="1">
      <alignment horizontal="center"/>
    </xf>
    <xf numFmtId="0" fontId="28" fillId="0" borderId="0" xfId="0" applyFont="1" applyAlignment="1">
      <alignment horizontal="center"/>
    </xf>
    <xf numFmtId="0" fontId="28" fillId="0" borderId="0" xfId="0" applyFont="1" applyAlignment="1">
      <alignment horizontal="center"/>
    </xf>
    <xf numFmtId="0" fontId="28" fillId="0" borderId="0" xfId="0" applyFont="1" applyAlignment="1">
      <alignment horizontal="center"/>
    </xf>
    <xf numFmtId="3" fontId="5" fillId="0" borderId="0" xfId="0" applyNumberFormat="1" applyFont="1" applyFill="1" applyBorder="1" applyAlignment="1">
      <alignment horizontal="left"/>
    </xf>
    <xf numFmtId="0" fontId="5" fillId="0" borderId="0" xfId="0" applyFont="1"/>
    <xf numFmtId="0" fontId="5" fillId="0" borderId="0" xfId="0" applyFont="1" applyFill="1" applyBorder="1"/>
    <xf numFmtId="0" fontId="28" fillId="0" borderId="0" xfId="0" applyFont="1" applyAlignment="1">
      <alignment horizontal="center"/>
    </xf>
    <xf numFmtId="0" fontId="28" fillId="0" borderId="0" xfId="0" applyFont="1" applyAlignment="1">
      <alignment horizontal="center"/>
    </xf>
    <xf numFmtId="0" fontId="28" fillId="0" borderId="0" xfId="0" applyFont="1" applyAlignment="1">
      <alignment horizontal="center"/>
    </xf>
    <xf numFmtId="0" fontId="28" fillId="0" borderId="0" xfId="0" applyFont="1" applyAlignment="1">
      <alignment horizontal="center"/>
    </xf>
    <xf numFmtId="0" fontId="6" fillId="0" borderId="0" xfId="0"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4" fontId="30" fillId="0" borderId="0" xfId="0" applyNumberFormat="1" applyFont="1" applyAlignment="1">
      <alignment horizontal="center" vertical="center"/>
    </xf>
    <xf numFmtId="0" fontId="6" fillId="0" borderId="0" xfId="0" applyFont="1" applyAlignment="1">
      <alignment horizontal="center" vertical="center"/>
    </xf>
    <xf numFmtId="0" fontId="15" fillId="0" borderId="0" xfId="0" applyFont="1" applyAlignment="1">
      <alignment vertical="center"/>
    </xf>
    <xf numFmtId="0" fontId="12" fillId="0" borderId="0" xfId="6" applyFont="1" applyAlignment="1" applyProtection="1">
      <alignment vertical="center"/>
    </xf>
    <xf numFmtId="0" fontId="5" fillId="0" borderId="0" xfId="6" applyFont="1" applyAlignment="1" applyProtection="1">
      <alignment vertical="center"/>
    </xf>
    <xf numFmtId="184" fontId="5" fillId="0" borderId="0" xfId="6" applyNumberFormat="1" applyFont="1" applyAlignment="1" applyProtection="1">
      <alignment vertical="center"/>
    </xf>
    <xf numFmtId="0" fontId="5" fillId="0" borderId="0" xfId="0" applyFont="1" applyBorder="1"/>
    <xf numFmtId="0" fontId="12" fillId="0" borderId="0" xfId="0" applyFont="1" applyBorder="1"/>
    <xf numFmtId="0" fontId="28" fillId="0" borderId="0" xfId="0" applyFont="1" applyBorder="1" applyAlignment="1">
      <alignment horizontal="center"/>
    </xf>
    <xf numFmtId="0" fontId="5" fillId="0" borderId="14" xfId="0" applyFont="1" applyBorder="1"/>
    <xf numFmtId="0" fontId="28" fillId="0" borderId="0" xfId="0" applyFont="1" applyFill="1" applyAlignment="1">
      <alignment horizontal="center"/>
    </xf>
    <xf numFmtId="0" fontId="25" fillId="0" borderId="0" xfId="0" applyFont="1"/>
    <xf numFmtId="0" fontId="39" fillId="0" borderId="0" xfId="0" applyFont="1"/>
    <xf numFmtId="0" fontId="28" fillId="0" borderId="0" xfId="0" applyFont="1" applyAlignment="1" applyProtection="1">
      <alignment horizontal="center"/>
      <protection hidden="1"/>
    </xf>
    <xf numFmtId="0" fontId="5" fillId="0" borderId="0" xfId="0" applyFont="1" applyFill="1" applyBorder="1" applyProtection="1">
      <protection hidden="1"/>
    </xf>
    <xf numFmtId="0" fontId="5" fillId="0" borderId="0" xfId="0" applyFont="1" applyProtection="1">
      <protection hidden="1"/>
    </xf>
    <xf numFmtId="0" fontId="28" fillId="0" borderId="0" xfId="0" applyFont="1" applyAlignment="1" applyProtection="1">
      <alignment horizontal="center" vertical="center"/>
      <protection hidden="1"/>
    </xf>
    <xf numFmtId="0" fontId="21" fillId="0" borderId="0" xfId="0" applyFont="1" applyBorder="1" applyAlignment="1" applyProtection="1">
      <alignment vertical="center"/>
      <protection hidden="1"/>
    </xf>
    <xf numFmtId="0" fontId="30" fillId="0" borderId="0" xfId="0" applyFont="1" applyAlignment="1" applyProtection="1">
      <alignment vertical="center"/>
      <protection hidden="1"/>
    </xf>
    <xf numFmtId="0" fontId="30" fillId="0" borderId="0" xfId="0" applyFont="1" applyAlignment="1" applyProtection="1">
      <alignment horizontal="center" vertical="center"/>
      <protection hidden="1"/>
    </xf>
    <xf numFmtId="0" fontId="5" fillId="0" borderId="9" xfId="0" applyFont="1" applyFill="1" applyBorder="1"/>
    <xf numFmtId="3" fontId="5" fillId="0" borderId="0" xfId="0" applyNumberFormat="1" applyFont="1" applyFill="1" applyBorder="1" applyAlignment="1">
      <alignment horizontal="center"/>
    </xf>
    <xf numFmtId="0" fontId="28" fillId="0" borderId="0" xfId="0" applyFont="1" applyAlignment="1">
      <alignment horizontal="center"/>
    </xf>
    <xf numFmtId="0" fontId="5" fillId="0" borderId="0" xfId="0" quotePrefix="1" applyFont="1" applyFill="1" applyBorder="1"/>
    <xf numFmtId="170" fontId="6" fillId="0" borderId="0" xfId="0" applyNumberFormat="1" applyFont="1" applyFill="1" applyBorder="1"/>
    <xf numFmtId="0" fontId="10" fillId="10" borderId="71" xfId="0" applyNumberFormat="1" applyFont="1" applyFill="1" applyBorder="1" applyAlignment="1">
      <alignment horizontal="left"/>
    </xf>
    <xf numFmtId="0" fontId="5" fillId="0" borderId="0" xfId="0" applyFont="1" applyFill="1"/>
    <xf numFmtId="0" fontId="5" fillId="0" borderId="0" xfId="0" applyFont="1" applyFill="1" applyBorder="1" applyAlignment="1">
      <alignment horizontal="left"/>
    </xf>
    <xf numFmtId="0" fontId="30" fillId="0" borderId="0" xfId="0" applyFont="1" applyAlignment="1">
      <alignment horizontal="center"/>
    </xf>
    <xf numFmtId="0" fontId="5" fillId="0" borderId="66" xfId="0" applyFont="1" applyFill="1" applyBorder="1" applyAlignment="1">
      <alignment horizontal="left" vertical="top" wrapText="1"/>
    </xf>
    <xf numFmtId="0" fontId="5" fillId="0" borderId="57" xfId="0" applyFont="1" applyFill="1" applyBorder="1" applyAlignment="1">
      <alignment horizontal="left" vertical="top" wrapText="1"/>
    </xf>
    <xf numFmtId="0" fontId="5" fillId="0" borderId="53" xfId="0" applyFont="1" applyFill="1" applyBorder="1" applyAlignment="1">
      <alignment horizontal="center"/>
    </xf>
    <xf numFmtId="0" fontId="5" fillId="0" borderId="46" xfId="0" applyFont="1" applyFill="1" applyBorder="1" applyAlignment="1">
      <alignment horizontal="center"/>
    </xf>
    <xf numFmtId="0" fontId="30" fillId="0" borderId="0" xfId="0" applyFont="1" applyAlignment="1">
      <alignment horizontal="center"/>
    </xf>
    <xf numFmtId="3" fontId="21" fillId="0" borderId="9" xfId="0" applyNumberFormat="1" applyFont="1" applyFill="1" applyBorder="1" applyAlignment="1">
      <alignment horizontal="center" wrapText="1"/>
    </xf>
    <xf numFmtId="3" fontId="21" fillId="0" borderId="0" xfId="0" applyNumberFormat="1" applyFont="1" applyAlignment="1">
      <alignment horizontal="center"/>
    </xf>
    <xf numFmtId="3" fontId="22" fillId="15" borderId="46" xfId="0" applyNumberFormat="1" applyFont="1" applyFill="1" applyBorder="1" applyAlignment="1">
      <alignment horizontal="center" vertical="center"/>
    </xf>
    <xf numFmtId="3" fontId="21" fillId="0" borderId="46" xfId="0" applyNumberFormat="1" applyFont="1" applyBorder="1" applyAlignment="1">
      <alignment horizontal="center"/>
    </xf>
    <xf numFmtId="3" fontId="5" fillId="0" borderId="10" xfId="0" applyNumberFormat="1" applyFont="1" applyFill="1" applyBorder="1" applyAlignment="1">
      <alignment horizontal="center" vertical="top" wrapText="1"/>
    </xf>
    <xf numFmtId="3" fontId="5" fillId="0" borderId="7" xfId="0" applyNumberFormat="1" applyFont="1" applyFill="1" applyBorder="1" applyAlignment="1">
      <alignment horizontal="center" wrapText="1"/>
    </xf>
    <xf numFmtId="3" fontId="22" fillId="0" borderId="0" xfId="0" applyNumberFormat="1" applyFont="1" applyFill="1" applyBorder="1" applyAlignment="1">
      <alignment horizontal="center" wrapText="1"/>
    </xf>
    <xf numFmtId="3" fontId="21" fillId="0" borderId="0" xfId="0" applyNumberFormat="1" applyFont="1" applyFill="1" applyBorder="1" applyAlignment="1">
      <alignment horizontal="center"/>
    </xf>
    <xf numFmtId="3" fontId="36" fillId="0" borderId="0" xfId="0" applyNumberFormat="1" applyFont="1" applyAlignment="1">
      <alignment horizontal="center"/>
    </xf>
    <xf numFmtId="3" fontId="21" fillId="10" borderId="62" xfId="0" applyNumberFormat="1" applyFont="1" applyFill="1" applyBorder="1" applyAlignment="1">
      <alignment horizontal="center"/>
    </xf>
    <xf numFmtId="3" fontId="21" fillId="0" borderId="9" xfId="0" applyNumberFormat="1" applyFont="1" applyFill="1" applyBorder="1" applyAlignment="1">
      <alignment horizontal="center"/>
    </xf>
    <xf numFmtId="3" fontId="21" fillId="0" borderId="9" xfId="0" applyNumberFormat="1" applyFont="1" applyBorder="1" applyAlignment="1">
      <alignment horizontal="center"/>
    </xf>
    <xf numFmtId="3" fontId="21" fillId="0" borderId="10" xfId="0" applyNumberFormat="1" applyFont="1" applyFill="1" applyBorder="1" applyAlignment="1">
      <alignment horizontal="center" wrapText="1"/>
    </xf>
    <xf numFmtId="3" fontId="40" fillId="0" borderId="9" xfId="0" applyNumberFormat="1" applyFont="1" applyFill="1" applyBorder="1" applyAlignment="1">
      <alignment horizontal="center"/>
    </xf>
    <xf numFmtId="3" fontId="21" fillId="0" borderId="10" xfId="0" applyNumberFormat="1" applyFont="1" applyFill="1" applyBorder="1" applyAlignment="1">
      <alignment horizontal="center"/>
    </xf>
    <xf numFmtId="0" fontId="12" fillId="0" borderId="3" xfId="0" applyFont="1" applyFill="1" applyBorder="1" applyAlignment="1">
      <alignment horizontal="center" wrapText="1"/>
    </xf>
    <xf numFmtId="4" fontId="6" fillId="0" borderId="0" xfId="0" applyNumberFormat="1" applyFont="1" applyAlignment="1">
      <alignment horizontal="center" vertical="center"/>
    </xf>
    <xf numFmtId="0" fontId="30" fillId="0" borderId="0" xfId="0" applyFont="1" applyAlignment="1">
      <alignment horizontal="center"/>
    </xf>
    <xf numFmtId="0" fontId="30" fillId="0" borderId="0" xfId="0" applyFont="1" applyAlignment="1">
      <alignment horizontal="center"/>
    </xf>
    <xf numFmtId="3" fontId="21" fillId="0" borderId="9" xfId="0" applyNumberFormat="1" applyFont="1" applyFill="1" applyBorder="1" applyAlignment="1">
      <alignment horizontal="left"/>
    </xf>
    <xf numFmtId="3" fontId="21" fillId="0" borderId="9" xfId="0" applyNumberFormat="1" applyFont="1" applyBorder="1" applyAlignment="1">
      <alignment horizontal="left"/>
    </xf>
    <xf numFmtId="0" fontId="30" fillId="0" borderId="0" xfId="0" applyFont="1" applyAlignment="1">
      <alignment horizontal="center"/>
    </xf>
    <xf numFmtId="0" fontId="30" fillId="0" borderId="0" xfId="0" applyFont="1" applyAlignment="1">
      <alignment horizontal="center"/>
    </xf>
    <xf numFmtId="0" fontId="30" fillId="0" borderId="0" xfId="0" applyFont="1" applyAlignment="1">
      <alignment horizontal="center"/>
    </xf>
    <xf numFmtId="0" fontId="6" fillId="0" borderId="39" xfId="0" applyFont="1" applyFill="1" applyBorder="1"/>
    <xf numFmtId="0" fontId="6" fillId="0" borderId="37" xfId="0" applyFont="1" applyFill="1" applyBorder="1"/>
    <xf numFmtId="0" fontId="6" fillId="0" borderId="38" xfId="0" applyFont="1" applyFill="1" applyBorder="1"/>
    <xf numFmtId="0" fontId="5" fillId="0" borderId="0" xfId="0" applyFont="1" applyAlignment="1">
      <alignment vertical="center"/>
    </xf>
    <xf numFmtId="164" fontId="6" fillId="0" borderId="0" xfId="0" applyNumberFormat="1" applyFont="1" applyFill="1" applyBorder="1" applyAlignment="1">
      <alignment horizontal="right"/>
    </xf>
    <xf numFmtId="164" fontId="6" fillId="0" borderId="0" xfId="0" applyNumberFormat="1" applyFont="1" applyFill="1"/>
    <xf numFmtId="0" fontId="6" fillId="0" borderId="0" xfId="0" quotePrefix="1" applyFont="1" applyFill="1"/>
    <xf numFmtId="0" fontId="5" fillId="0" borderId="0" xfId="0" applyFont="1" applyFill="1" applyAlignment="1"/>
    <xf numFmtId="0" fontId="6" fillId="0" borderId="0" xfId="0" applyFont="1" applyFill="1" applyAlignment="1">
      <alignment horizontal="center"/>
    </xf>
    <xf numFmtId="0" fontId="6" fillId="0" borderId="0" xfId="0" applyFont="1" applyFill="1" applyAlignment="1"/>
    <xf numFmtId="2" fontId="6" fillId="0" borderId="0" xfId="0" applyNumberFormat="1" applyFont="1" applyFill="1" applyAlignment="1">
      <alignment horizontal="left"/>
    </xf>
    <xf numFmtId="0" fontId="6" fillId="0" borderId="0" xfId="0" applyFont="1" applyFill="1" applyAlignment="1">
      <alignment horizontal="right"/>
    </xf>
    <xf numFmtId="0" fontId="28" fillId="0" borderId="0" xfId="0" applyFont="1" applyFill="1" applyAlignment="1"/>
    <xf numFmtId="0" fontId="6" fillId="0" borderId="0" xfId="0" applyFont="1" applyFill="1" applyProtection="1"/>
    <xf numFmtId="169" fontId="6" fillId="0" borderId="0" xfId="0" applyNumberFormat="1" applyFont="1" applyFill="1"/>
    <xf numFmtId="173" fontId="6" fillId="0" borderId="0" xfId="6" applyNumberFormat="1" applyFont="1" applyFill="1" applyAlignment="1">
      <alignment horizontal="right" indent="1"/>
    </xf>
    <xf numFmtId="0" fontId="6" fillId="0" borderId="0" xfId="6" applyFont="1" applyFill="1" applyAlignment="1">
      <alignment horizontal="left"/>
    </xf>
    <xf numFmtId="0" fontId="28" fillId="0" borderId="0" xfId="6" applyFont="1" applyFill="1" applyAlignment="1">
      <alignment horizontal="left" indent="1"/>
    </xf>
    <xf numFmtId="0" fontId="28" fillId="0" borderId="0" xfId="6" applyFont="1" applyFill="1" applyAlignment="1">
      <alignment horizontal="left"/>
    </xf>
    <xf numFmtId="0" fontId="28" fillId="0" borderId="0" xfId="0" applyFont="1" applyFill="1"/>
    <xf numFmtId="49" fontId="6" fillId="0" borderId="0" xfId="6" quotePrefix="1" applyNumberFormat="1" applyFont="1" applyFill="1" applyAlignment="1">
      <alignment horizontal="left" indent="1"/>
    </xf>
    <xf numFmtId="49" fontId="28" fillId="0" borderId="0" xfId="6" applyNumberFormat="1" applyFont="1" applyFill="1" applyAlignment="1">
      <alignment horizontal="left" indent="1"/>
    </xf>
    <xf numFmtId="4" fontId="6" fillId="0" borderId="0" xfId="6" applyNumberFormat="1" applyFont="1" applyFill="1" applyAlignment="1"/>
    <xf numFmtId="0" fontId="6" fillId="0" borderId="0" xfId="6" applyFont="1" applyFill="1" applyAlignment="1"/>
    <xf numFmtId="0" fontId="6" fillId="0" borderId="0" xfId="6" applyFont="1" applyFill="1" applyAlignment="1">
      <alignment horizontal="left" indent="1"/>
    </xf>
    <xf numFmtId="3" fontId="6" fillId="0" borderId="0" xfId="6" applyNumberFormat="1" applyFont="1" applyFill="1" applyAlignment="1"/>
    <xf numFmtId="0" fontId="20" fillId="0" borderId="0" xfId="0" applyFont="1" applyFill="1" applyAlignment="1"/>
    <xf numFmtId="4" fontId="6" fillId="0" borderId="0" xfId="0" applyNumberFormat="1" applyFont="1" applyFill="1" applyAlignment="1"/>
    <xf numFmtId="2" fontId="6" fillId="0" borderId="0" xfId="0" applyNumberFormat="1" applyFont="1" applyFill="1" applyAlignment="1">
      <alignment horizontal="center"/>
    </xf>
    <xf numFmtId="0" fontId="6" fillId="0" borderId="0" xfId="0" applyFont="1" applyFill="1" applyAlignment="1">
      <alignment horizontal="left" indent="1"/>
    </xf>
    <xf numFmtId="0" fontId="6" fillId="0" borderId="0" xfId="0" applyFont="1" applyFill="1" applyAlignment="1">
      <alignment horizontal="left"/>
    </xf>
    <xf numFmtId="49" fontId="6" fillId="0" borderId="0" xfId="0" applyNumberFormat="1" applyFont="1" applyFill="1" applyAlignment="1">
      <alignment horizontal="left" indent="1"/>
    </xf>
    <xf numFmtId="3" fontId="42" fillId="14" borderId="0" xfId="0" applyNumberFormat="1" applyFont="1" applyFill="1" applyAlignment="1">
      <alignment horizontal="center"/>
    </xf>
    <xf numFmtId="0" fontId="28" fillId="0" borderId="0" xfId="0" applyFont="1" applyAlignment="1">
      <alignment horizontal="center"/>
    </xf>
    <xf numFmtId="0" fontId="30" fillId="0" borderId="0" xfId="0" applyFont="1" applyAlignment="1">
      <alignment horizontal="center"/>
    </xf>
    <xf numFmtId="0" fontId="28" fillId="0" borderId="0" xfId="0" applyFont="1" applyAlignment="1">
      <alignment horizontal="center"/>
    </xf>
    <xf numFmtId="0" fontId="30" fillId="0" borderId="0" xfId="0" applyFont="1" applyAlignment="1">
      <alignment horizontal="center"/>
    </xf>
    <xf numFmtId="0" fontId="28" fillId="0" borderId="0" xfId="0" applyFont="1" applyAlignment="1">
      <alignment horizontal="center"/>
    </xf>
    <xf numFmtId="0" fontId="30" fillId="0" borderId="0" xfId="0" applyFont="1" applyAlignment="1">
      <alignment horizontal="center"/>
    </xf>
    <xf numFmtId="0" fontId="12" fillId="14" borderId="2" xfId="0" applyFont="1" applyFill="1" applyBorder="1" applyAlignment="1">
      <alignment horizontal="center" vertical="top" wrapText="1"/>
    </xf>
    <xf numFmtId="4" fontId="12" fillId="14" borderId="2" xfId="0" applyNumberFormat="1" applyFont="1" applyFill="1" applyBorder="1" applyAlignment="1">
      <alignment horizontal="center" vertical="top" wrapText="1"/>
    </xf>
    <xf numFmtId="182" fontId="6" fillId="0" borderId="0" xfId="0" applyNumberFormat="1" applyFont="1" applyAlignment="1">
      <alignment horizontal="center"/>
    </xf>
    <xf numFmtId="182" fontId="6" fillId="0" borderId="0" xfId="0" applyNumberFormat="1" applyFont="1" applyBorder="1" applyAlignment="1">
      <alignment horizontal="center"/>
    </xf>
    <xf numFmtId="182" fontId="6" fillId="0" borderId="0" xfId="0" applyNumberFormat="1" applyFont="1" applyFill="1" applyAlignment="1">
      <alignment horizontal="center"/>
    </xf>
    <xf numFmtId="182" fontId="28" fillId="0" borderId="0" xfId="0" applyNumberFormat="1" applyFont="1" applyAlignment="1">
      <alignment horizontal="center"/>
    </xf>
    <xf numFmtId="182" fontId="5" fillId="0" borderId="0" xfId="0" applyNumberFormat="1" applyFont="1" applyBorder="1" applyAlignment="1">
      <alignment horizontal="center"/>
    </xf>
    <xf numFmtId="182" fontId="5" fillId="0" borderId="0" xfId="0" applyNumberFormat="1" applyFont="1" applyAlignment="1">
      <alignment horizontal="center"/>
    </xf>
    <xf numFmtId="2" fontId="10" fillId="12" borderId="74" xfId="0" applyNumberFormat="1" applyFont="1" applyFill="1" applyBorder="1" applyAlignment="1">
      <alignment horizontal="center"/>
    </xf>
    <xf numFmtId="0" fontId="28" fillId="0" borderId="0" xfId="0" applyFont="1" applyAlignment="1">
      <alignment horizontal="center"/>
    </xf>
    <xf numFmtId="0" fontId="30" fillId="0" borderId="0" xfId="0" applyFont="1" applyAlignment="1">
      <alignment horizontal="center"/>
    </xf>
    <xf numFmtId="0" fontId="5" fillId="0" borderId="49" xfId="0" applyFont="1" applyFill="1" applyBorder="1"/>
    <xf numFmtId="2" fontId="5" fillId="0" borderId="0" xfId="0" applyNumberFormat="1" applyFont="1" applyAlignment="1">
      <alignment horizontal="center"/>
    </xf>
    <xf numFmtId="0" fontId="5" fillId="0" borderId="66" xfId="0" applyFont="1" applyFill="1" applyBorder="1" applyAlignment="1">
      <alignment horizontal="center" wrapText="1"/>
    </xf>
    <xf numFmtId="0" fontId="12" fillId="0" borderId="64" xfId="0" applyFont="1" applyFill="1" applyBorder="1" applyAlignment="1">
      <alignment horizontal="center" wrapText="1"/>
    </xf>
    <xf numFmtId="3" fontId="31" fillId="0" borderId="0" xfId="0" applyNumberFormat="1" applyFont="1" applyFill="1" applyBorder="1" applyAlignment="1">
      <alignment horizontal="center"/>
    </xf>
    <xf numFmtId="173" fontId="31" fillId="0" borderId="0" xfId="0" applyNumberFormat="1" applyFont="1" applyFill="1" applyBorder="1" applyAlignment="1">
      <alignment horizontal="center"/>
    </xf>
    <xf numFmtId="0" fontId="36" fillId="0" borderId="0" xfId="0" applyFont="1" applyAlignment="1">
      <alignment horizontal="center"/>
    </xf>
    <xf numFmtId="0" fontId="21" fillId="0" borderId="0" xfId="0" applyFont="1"/>
    <xf numFmtId="0" fontId="28" fillId="0" borderId="0" xfId="0" applyFont="1" applyAlignment="1">
      <alignment horizontal="center"/>
    </xf>
    <xf numFmtId="0" fontId="30" fillId="0" borderId="0" xfId="0" applyFont="1" applyAlignment="1">
      <alignment horizontal="center"/>
    </xf>
    <xf numFmtId="0" fontId="5" fillId="0" borderId="51" xfId="0" applyFont="1" applyFill="1" applyBorder="1" applyAlignment="1">
      <alignment horizontal="center"/>
    </xf>
    <xf numFmtId="0" fontId="28" fillId="0" borderId="0" xfId="0" applyFont="1" applyAlignment="1">
      <alignment horizontal="center"/>
    </xf>
    <xf numFmtId="0" fontId="5" fillId="0" borderId="77" xfId="0" applyFont="1" applyFill="1" applyBorder="1" applyAlignment="1">
      <alignment horizontal="center"/>
    </xf>
    <xf numFmtId="0" fontId="24" fillId="3" borderId="9" xfId="0" applyFont="1" applyFill="1" applyBorder="1"/>
    <xf numFmtId="0" fontId="24" fillId="0" borderId="9" xfId="0" applyFont="1" applyFill="1" applyBorder="1"/>
    <xf numFmtId="0" fontId="11" fillId="3" borderId="9" xfId="0" applyFont="1" applyFill="1" applyBorder="1"/>
    <xf numFmtId="0" fontId="46" fillId="19" borderId="46" xfId="0" applyFont="1" applyFill="1" applyBorder="1" applyAlignment="1">
      <alignment vertical="center"/>
    </xf>
    <xf numFmtId="0" fontId="46" fillId="19" borderId="67" xfId="0" applyFont="1" applyFill="1" applyBorder="1" applyAlignment="1">
      <alignment vertical="center"/>
    </xf>
    <xf numFmtId="182" fontId="12" fillId="15" borderId="6" xfId="0" applyNumberFormat="1" applyFont="1" applyFill="1" applyBorder="1" applyAlignment="1">
      <alignment horizontal="center" vertical="center"/>
    </xf>
    <xf numFmtId="0" fontId="10" fillId="15" borderId="24" xfId="0" applyFont="1" applyFill="1" applyBorder="1" applyAlignment="1">
      <alignment vertical="center"/>
    </xf>
    <xf numFmtId="0" fontId="6" fillId="15" borderId="30" xfId="0" applyFont="1" applyFill="1" applyBorder="1" applyAlignment="1">
      <alignment vertical="center"/>
    </xf>
    <xf numFmtId="3" fontId="10" fillId="20" borderId="30" xfId="0" applyNumberFormat="1" applyFont="1" applyFill="1" applyBorder="1" applyAlignment="1">
      <alignment vertical="center"/>
    </xf>
    <xf numFmtId="0" fontId="9" fillId="20" borderId="30" xfId="0" applyFont="1" applyFill="1" applyBorder="1" applyAlignment="1">
      <alignment vertical="center"/>
    </xf>
    <xf numFmtId="0" fontId="5" fillId="15" borderId="30" xfId="0" applyFont="1" applyFill="1" applyBorder="1" applyAlignment="1">
      <alignment vertical="center"/>
    </xf>
    <xf numFmtId="0" fontId="6" fillId="15" borderId="25" xfId="0" applyFont="1" applyFill="1" applyBorder="1" applyAlignment="1">
      <alignment vertical="center"/>
    </xf>
    <xf numFmtId="182" fontId="12" fillId="15" borderId="24" xfId="0" applyNumberFormat="1" applyFont="1" applyFill="1" applyBorder="1" applyAlignment="1" applyProtection="1">
      <alignment vertical="center"/>
      <protection hidden="1"/>
    </xf>
    <xf numFmtId="0" fontId="12" fillId="15" borderId="30" xfId="0" applyFont="1" applyFill="1" applyBorder="1" applyAlignment="1" applyProtection="1">
      <alignment vertical="center"/>
      <protection hidden="1"/>
    </xf>
    <xf numFmtId="3" fontId="10" fillId="20" borderId="30" xfId="0" applyNumberFormat="1" applyFont="1" applyFill="1" applyBorder="1" applyAlignment="1" applyProtection="1">
      <alignment vertical="center"/>
      <protection hidden="1"/>
    </xf>
    <xf numFmtId="0" fontId="9" fillId="20" borderId="30" xfId="0" applyFont="1" applyFill="1" applyBorder="1" applyAlignment="1" applyProtection="1">
      <alignment vertical="center"/>
      <protection hidden="1"/>
    </xf>
    <xf numFmtId="0" fontId="5" fillId="15" borderId="30" xfId="0" applyFont="1" applyFill="1" applyBorder="1" applyAlignment="1" applyProtection="1">
      <alignment vertical="center"/>
      <protection hidden="1"/>
    </xf>
    <xf numFmtId="0" fontId="35" fillId="15" borderId="25" xfId="0" applyNumberFormat="1" applyFont="1" applyFill="1" applyBorder="1" applyAlignment="1" applyProtection="1">
      <alignment horizontal="right" vertical="center"/>
      <protection hidden="1"/>
    </xf>
    <xf numFmtId="0" fontId="12" fillId="15" borderId="24" xfId="0" applyFont="1" applyFill="1" applyBorder="1" applyAlignment="1">
      <alignment vertical="center"/>
    </xf>
    <xf numFmtId="0" fontId="12" fillId="15" borderId="30" xfId="0" applyFont="1" applyFill="1" applyBorder="1" applyAlignment="1">
      <alignment vertical="center"/>
    </xf>
    <xf numFmtId="0" fontId="12" fillId="15" borderId="25" xfId="0" applyFont="1" applyFill="1" applyBorder="1" applyAlignment="1">
      <alignment vertical="center"/>
    </xf>
    <xf numFmtId="182" fontId="12" fillId="15" borderId="24" xfId="0" applyNumberFormat="1" applyFont="1" applyFill="1" applyBorder="1" applyAlignment="1">
      <alignment horizontal="left" vertical="center"/>
    </xf>
    <xf numFmtId="0" fontId="35" fillId="15" borderId="25" xfId="0" applyNumberFormat="1" applyFont="1" applyFill="1" applyBorder="1" applyAlignment="1">
      <alignment horizontal="right" vertical="center"/>
    </xf>
    <xf numFmtId="3" fontId="12" fillId="15" borderId="24" xfId="0" applyNumberFormat="1" applyFont="1" applyFill="1" applyBorder="1" applyAlignment="1">
      <alignment horizontal="center" vertical="center"/>
    </xf>
    <xf numFmtId="0" fontId="47" fillId="19" borderId="7" xfId="0" applyFont="1" applyFill="1" applyBorder="1" applyAlignment="1">
      <alignment vertical="center"/>
    </xf>
    <xf numFmtId="0" fontId="46" fillId="19" borderId="11" xfId="0" applyFont="1" applyFill="1" applyBorder="1" applyAlignment="1">
      <alignment vertical="center"/>
    </xf>
    <xf numFmtId="0" fontId="48" fillId="19" borderId="11" xfId="0" applyFont="1" applyFill="1" applyBorder="1" applyAlignment="1">
      <alignment vertical="center"/>
    </xf>
    <xf numFmtId="0" fontId="48" fillId="19" borderId="12" xfId="0" applyFont="1" applyFill="1" applyBorder="1" applyAlignment="1">
      <alignment vertical="center"/>
    </xf>
    <xf numFmtId="0" fontId="28" fillId="0" borderId="0" xfId="0" applyFont="1" applyAlignment="1">
      <alignment horizontal="center"/>
    </xf>
    <xf numFmtId="0" fontId="39" fillId="0" borderId="0" xfId="0" applyFont="1" applyAlignment="1">
      <alignment horizontal="left" vertical="top" wrapText="1"/>
    </xf>
    <xf numFmtId="0" fontId="51" fillId="0" borderId="0" xfId="0" applyFont="1"/>
    <xf numFmtId="0" fontId="43" fillId="0" borderId="0" xfId="0" applyFont="1" applyAlignment="1">
      <alignment horizontal="left"/>
    </xf>
    <xf numFmtId="0" fontId="49" fillId="0" borderId="0" xfId="0" applyFont="1" applyAlignment="1"/>
    <xf numFmtId="0" fontId="50" fillId="0" borderId="0" xfId="0" applyFont="1" applyAlignment="1"/>
    <xf numFmtId="0" fontId="49" fillId="0" borderId="0" xfId="0" applyNumberFormat="1" applyFont="1" applyAlignment="1"/>
    <xf numFmtId="0" fontId="50" fillId="0" borderId="0" xfId="0" applyNumberFormat="1" applyFont="1" applyAlignment="1"/>
    <xf numFmtId="0" fontId="51" fillId="0" borderId="0" xfId="3" applyFont="1" applyAlignment="1">
      <alignment vertical="center"/>
    </xf>
    <xf numFmtId="49" fontId="53" fillId="0" borderId="0" xfId="0" applyNumberFormat="1" applyFont="1" applyAlignment="1">
      <alignment horizontal="right"/>
    </xf>
    <xf numFmtId="0" fontId="44" fillId="0" borderId="0" xfId="0" applyFont="1" applyAlignment="1">
      <alignment vertical="center"/>
    </xf>
    <xf numFmtId="0" fontId="51" fillId="0" borderId="0" xfId="0" applyFont="1" applyAlignment="1">
      <alignment vertical="center"/>
    </xf>
    <xf numFmtId="184" fontId="5" fillId="0" borderId="0" xfId="6" applyNumberFormat="1" applyFont="1" applyAlignment="1" applyProtection="1">
      <alignment horizontal="center" vertical="center"/>
    </xf>
    <xf numFmtId="0" fontId="47" fillId="19" borderId="24" xfId="0" applyFont="1" applyFill="1" applyBorder="1" applyAlignment="1">
      <alignment vertical="center"/>
    </xf>
    <xf numFmtId="0" fontId="47" fillId="19" borderId="30" xfId="0" applyFont="1" applyFill="1" applyBorder="1" applyAlignment="1">
      <alignment vertical="center"/>
    </xf>
    <xf numFmtId="0" fontId="47" fillId="19" borderId="25" xfId="0" applyFont="1" applyFill="1" applyBorder="1" applyAlignment="1">
      <alignment vertical="center"/>
    </xf>
    <xf numFmtId="0" fontId="46" fillId="19" borderId="30" xfId="0" applyFont="1" applyFill="1" applyBorder="1" applyAlignment="1">
      <alignment vertical="center"/>
    </xf>
    <xf numFmtId="0" fontId="48" fillId="19" borderId="30" xfId="0" applyFont="1" applyFill="1" applyBorder="1" applyAlignment="1">
      <alignment vertical="center"/>
    </xf>
    <xf numFmtId="0" fontId="48" fillId="19" borderId="25" xfId="0" applyFont="1" applyFill="1" applyBorder="1" applyAlignment="1">
      <alignment vertical="center"/>
    </xf>
    <xf numFmtId="0" fontId="47" fillId="19" borderId="78" xfId="0" applyFont="1" applyFill="1" applyBorder="1" applyAlignment="1">
      <alignment vertical="center"/>
    </xf>
    <xf numFmtId="0" fontId="46" fillId="19" borderId="72" xfId="0" applyFont="1" applyFill="1" applyBorder="1" applyAlignment="1">
      <alignment vertical="center"/>
    </xf>
    <xf numFmtId="0" fontId="46" fillId="19" borderId="73" xfId="0" applyFont="1" applyFill="1" applyBorder="1" applyAlignment="1">
      <alignment vertical="center"/>
    </xf>
    <xf numFmtId="0" fontId="6" fillId="0" borderId="57" xfId="0" applyFont="1" applyFill="1" applyBorder="1" applyAlignment="1">
      <alignment horizontal="left"/>
    </xf>
    <xf numFmtId="0" fontId="6" fillId="0" borderId="57" xfId="0" applyFont="1" applyFill="1" applyBorder="1"/>
    <xf numFmtId="0" fontId="5" fillId="0" borderId="57" xfId="0" applyFont="1" applyFill="1" applyBorder="1"/>
    <xf numFmtId="2" fontId="54" fillId="15" borderId="0" xfId="15" applyNumberFormat="1" applyFont="1" applyFill="1" applyBorder="1"/>
    <xf numFmtId="0" fontId="12" fillId="15" borderId="0" xfId="0" applyFont="1" applyFill="1" applyBorder="1"/>
    <xf numFmtId="187" fontId="5" fillId="0" borderId="0" xfId="0" applyNumberFormat="1" applyFont="1" applyBorder="1" applyAlignment="1">
      <alignment horizontal="left"/>
    </xf>
    <xf numFmtId="2" fontId="55" fillId="0" borderId="0" xfId="15" applyNumberFormat="1" applyFont="1" applyBorder="1"/>
    <xf numFmtId="187" fontId="5" fillId="0" borderId="0" xfId="0" applyNumberFormat="1" applyFont="1" applyBorder="1" applyAlignment="1">
      <alignment horizontal="left" indent="1"/>
    </xf>
    <xf numFmtId="187" fontId="12" fillId="0" borderId="0" xfId="0" applyNumberFormat="1" applyFont="1" applyBorder="1" applyAlignment="1">
      <alignment horizontal="left"/>
    </xf>
    <xf numFmtId="0" fontId="53" fillId="0" borderId="0" xfId="0" applyFont="1"/>
    <xf numFmtId="49" fontId="53" fillId="0" borderId="0" xfId="0" applyNumberFormat="1" applyFont="1" applyAlignment="1">
      <alignment horizontal="left"/>
    </xf>
    <xf numFmtId="0" fontId="21" fillId="0" borderId="0" xfId="6" applyFont="1" applyAlignment="1" applyProtection="1">
      <alignment vertical="center"/>
    </xf>
    <xf numFmtId="0" fontId="21" fillId="0" borderId="0" xfId="6" applyFont="1" applyAlignment="1" applyProtection="1">
      <alignment horizontal="left" vertical="center"/>
    </xf>
    <xf numFmtId="174" fontId="21" fillId="0" borderId="0" xfId="6" applyNumberFormat="1" applyFont="1" applyAlignment="1" applyProtection="1">
      <alignment vertical="center"/>
    </xf>
    <xf numFmtId="0" fontId="21" fillId="0" borderId="0" xfId="6" applyFont="1" applyFill="1" applyAlignment="1" applyProtection="1">
      <alignment vertical="center"/>
    </xf>
    <xf numFmtId="0" fontId="52" fillId="0" borderId="0" xfId="6" applyNumberFormat="1" applyFont="1" applyAlignment="1" applyProtection="1">
      <alignment vertical="center"/>
    </xf>
    <xf numFmtId="0" fontId="52" fillId="0" borderId="0" xfId="6" applyFont="1" applyAlignment="1" applyProtection="1">
      <alignment vertical="center"/>
    </xf>
    <xf numFmtId="0" fontId="22" fillId="0" borderId="0" xfId="6" applyFont="1" applyAlignment="1" applyProtection="1">
      <alignment vertical="center"/>
    </xf>
    <xf numFmtId="0" fontId="21" fillId="0" borderId="0" xfId="6" applyNumberFormat="1" applyFont="1" applyBorder="1" applyAlignment="1" applyProtection="1">
      <alignment vertical="center"/>
    </xf>
    <xf numFmtId="164" fontId="21" fillId="0" borderId="0" xfId="6" applyNumberFormat="1" applyFont="1" applyAlignment="1" applyProtection="1">
      <alignment vertical="center"/>
    </xf>
    <xf numFmtId="174" fontId="21" fillId="0" borderId="0" xfId="6" applyNumberFormat="1" applyFont="1" applyAlignment="1" applyProtection="1">
      <alignment horizontal="left" vertical="center"/>
    </xf>
    <xf numFmtId="4" fontId="21" fillId="0" borderId="0" xfId="6" applyNumberFormat="1" applyFont="1" applyBorder="1" applyAlignment="1" applyProtection="1">
      <alignment vertical="center"/>
    </xf>
    <xf numFmtId="0" fontId="21" fillId="0" borderId="0" xfId="6" applyFont="1" applyBorder="1" applyAlignment="1" applyProtection="1">
      <alignment vertical="center"/>
    </xf>
    <xf numFmtId="4" fontId="21" fillId="0" borderId="0" xfId="6" applyNumberFormat="1" applyFont="1" applyAlignment="1" applyProtection="1">
      <alignment vertical="center"/>
    </xf>
    <xf numFmtId="0" fontId="21" fillId="0" borderId="0" xfId="6" applyFont="1" applyAlignment="1" applyProtection="1">
      <alignment horizontal="center" vertical="center"/>
    </xf>
    <xf numFmtId="174" fontId="21" fillId="0" borderId="0" xfId="6" applyNumberFormat="1" applyFont="1" applyAlignment="1" applyProtection="1">
      <alignment horizontal="center" vertical="center"/>
    </xf>
    <xf numFmtId="0" fontId="21" fillId="0" borderId="0" xfId="6" applyFont="1" applyFill="1" applyAlignment="1" applyProtection="1">
      <alignment horizontal="center" vertical="center"/>
    </xf>
    <xf numFmtId="0" fontId="56" fillId="6" borderId="18" xfId="6" applyFont="1" applyFill="1" applyBorder="1" applyAlignment="1" applyProtection="1">
      <alignment horizontal="left" vertical="center"/>
    </xf>
    <xf numFmtId="0" fontId="21" fillId="6" borderId="18" xfId="6" applyFont="1" applyFill="1" applyBorder="1" applyAlignment="1" applyProtection="1">
      <alignment horizontal="left" vertical="center"/>
    </xf>
    <xf numFmtId="0" fontId="36" fillId="0" borderId="0" xfId="6" applyFont="1" applyAlignment="1" applyProtection="1">
      <alignment horizontal="center" vertical="center"/>
    </xf>
    <xf numFmtId="174" fontId="36" fillId="0" borderId="0" xfId="6" applyNumberFormat="1" applyFont="1" applyAlignment="1" applyProtection="1">
      <alignment horizontal="center" vertical="center"/>
    </xf>
    <xf numFmtId="0" fontId="23" fillId="0" borderId="0" xfId="6" applyFont="1" applyAlignment="1" applyProtection="1">
      <alignment horizontal="left" vertical="center"/>
    </xf>
    <xf numFmtId="0" fontId="22" fillId="0" borderId="0" xfId="6" applyFont="1" applyAlignment="1" applyProtection="1">
      <alignment horizontal="left" vertical="center"/>
    </xf>
    <xf numFmtId="0" fontId="22" fillId="6" borderId="0" xfId="6" applyFont="1" applyFill="1" applyAlignment="1" applyProtection="1">
      <alignment horizontal="left" vertical="center"/>
    </xf>
    <xf numFmtId="0" fontId="57" fillId="6" borderId="0" xfId="6" applyFont="1" applyFill="1" applyAlignment="1" applyProtection="1">
      <alignment horizontal="left" vertical="center"/>
    </xf>
    <xf numFmtId="0" fontId="22" fillId="0" borderId="18" xfId="6" applyFont="1" applyBorder="1" applyAlignment="1" applyProtection="1">
      <alignment horizontal="left" vertical="center"/>
    </xf>
    <xf numFmtId="0" fontId="21" fillId="0" borderId="18" xfId="6" applyFont="1" applyBorder="1" applyAlignment="1" applyProtection="1">
      <alignment horizontal="left" vertical="center"/>
    </xf>
    <xf numFmtId="0" fontId="21" fillId="0" borderId="18" xfId="6" applyFont="1" applyBorder="1" applyAlignment="1" applyProtection="1">
      <alignment horizontal="center" vertical="center"/>
    </xf>
    <xf numFmtId="174" fontId="21" fillId="0" borderId="18" xfId="6" applyNumberFormat="1" applyFont="1" applyBorder="1" applyAlignment="1" applyProtection="1">
      <alignment horizontal="center" vertical="center"/>
    </xf>
    <xf numFmtId="0" fontId="22" fillId="0" borderId="10"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40" xfId="6" applyFont="1" applyBorder="1" applyAlignment="1" applyProtection="1">
      <alignment vertical="center"/>
    </xf>
    <xf numFmtId="0" fontId="22" fillId="0" borderId="0" xfId="6" applyFont="1" applyAlignment="1" applyProtection="1">
      <alignment horizontal="center" vertical="center"/>
    </xf>
    <xf numFmtId="0" fontId="22" fillId="0" borderId="6" xfId="6" applyFont="1" applyBorder="1" applyAlignment="1" applyProtection="1">
      <alignment horizontal="center" vertical="center" wrapText="1"/>
    </xf>
    <xf numFmtId="0" fontId="22" fillId="0" borderId="22" xfId="6" applyFont="1" applyBorder="1" applyAlignment="1" applyProtection="1">
      <alignment horizontal="left" vertical="center" wrapText="1"/>
    </xf>
    <xf numFmtId="0" fontId="22" fillId="7" borderId="25" xfId="6" applyFont="1" applyFill="1" applyBorder="1" applyAlignment="1" applyProtection="1">
      <alignment horizontal="center" vertical="center" wrapText="1"/>
    </xf>
    <xf numFmtId="0" fontId="58" fillId="8" borderId="6" xfId="6" applyFont="1" applyFill="1" applyBorder="1" applyAlignment="1" applyProtection="1">
      <alignment horizontal="center" vertical="center" wrapText="1"/>
    </xf>
    <xf numFmtId="0" fontId="58" fillId="8" borderId="24" xfId="6" applyFont="1" applyFill="1" applyBorder="1" applyAlignment="1" applyProtection="1">
      <alignment horizontal="center" vertical="center" wrapText="1"/>
    </xf>
    <xf numFmtId="0" fontId="22" fillId="0" borderId="22" xfId="6" applyFont="1" applyFill="1" applyBorder="1" applyAlignment="1" applyProtection="1">
      <alignment horizontal="center" vertical="center" wrapText="1"/>
    </xf>
    <xf numFmtId="0" fontId="58" fillId="8" borderId="6" xfId="6" applyFont="1" applyFill="1" applyBorder="1" applyAlignment="1" applyProtection="1">
      <alignment horizontal="left" vertical="center" wrapText="1"/>
    </xf>
    <xf numFmtId="0" fontId="22" fillId="0" borderId="25" xfId="6" applyFont="1" applyBorder="1" applyAlignment="1" applyProtection="1">
      <alignment horizontal="center" vertical="center" wrapText="1"/>
    </xf>
    <xf numFmtId="0" fontId="22" fillId="5" borderId="6" xfId="6" applyFont="1" applyFill="1" applyBorder="1" applyAlignment="1" applyProtection="1">
      <alignment horizontal="center" vertical="center" wrapText="1"/>
    </xf>
    <xf numFmtId="0" fontId="22" fillId="5" borderId="32" xfId="6" applyFont="1" applyFill="1" applyBorder="1" applyAlignment="1" applyProtection="1">
      <alignment horizontal="center" vertical="center" wrapText="1"/>
    </xf>
    <xf numFmtId="0" fontId="58" fillId="12" borderId="25" xfId="6" applyFont="1" applyFill="1" applyBorder="1" applyAlignment="1" applyProtection="1">
      <alignment horizontal="center" vertical="center" wrapText="1"/>
    </xf>
    <xf numFmtId="0" fontId="58" fillId="12" borderId="6" xfId="6" applyFont="1" applyFill="1" applyBorder="1" applyAlignment="1" applyProtection="1">
      <alignment horizontal="center" vertical="center" wrapText="1"/>
    </xf>
    <xf numFmtId="0" fontId="58" fillId="8" borderId="22" xfId="6" applyFont="1" applyFill="1" applyBorder="1" applyAlignment="1" applyProtection="1">
      <alignment horizontal="center" vertical="center" wrapText="1"/>
    </xf>
    <xf numFmtId="0" fontId="59" fillId="12" borderId="26" xfId="6" applyFont="1" applyFill="1" applyBorder="1" applyAlignment="1" applyProtection="1">
      <alignment horizontal="center" vertical="center" wrapText="1"/>
    </xf>
    <xf numFmtId="174" fontId="58" fillId="12" borderId="30" xfId="6" applyNumberFormat="1" applyFont="1" applyFill="1" applyBorder="1" applyAlignment="1" applyProtection="1">
      <alignment horizontal="center" vertical="center" wrapText="1"/>
    </xf>
    <xf numFmtId="0" fontId="21" fillId="9" borderId="26" xfId="6" applyFont="1" applyFill="1" applyBorder="1" applyAlignment="1" applyProtection="1">
      <alignment horizontal="center" vertical="center" wrapText="1"/>
    </xf>
    <xf numFmtId="0" fontId="22" fillId="9" borderId="25" xfId="6" applyFont="1" applyFill="1" applyBorder="1" applyAlignment="1" applyProtection="1">
      <alignment horizontal="center" vertical="center" wrapText="1"/>
    </xf>
    <xf numFmtId="0" fontId="22" fillId="8" borderId="6" xfId="6" applyFont="1" applyFill="1" applyBorder="1" applyAlignment="1" applyProtection="1">
      <alignment horizontal="center" vertical="center" wrapText="1"/>
    </xf>
    <xf numFmtId="0" fontId="22" fillId="0" borderId="6" xfId="6" applyFont="1" applyFill="1" applyBorder="1" applyAlignment="1" applyProtection="1">
      <alignment horizontal="center" vertical="center" wrapText="1"/>
    </xf>
    <xf numFmtId="0" fontId="22" fillId="9" borderId="6" xfId="6" applyFont="1" applyFill="1" applyBorder="1" applyAlignment="1" applyProtection="1">
      <alignment horizontal="center" vertical="center" wrapText="1"/>
    </xf>
    <xf numFmtId="0" fontId="22" fillId="0" borderId="0" xfId="6" applyFont="1" applyAlignment="1" applyProtection="1">
      <alignment horizontal="center" vertical="center" wrapText="1"/>
    </xf>
    <xf numFmtId="0" fontId="22" fillId="7" borderId="6" xfId="6" applyFont="1" applyFill="1" applyBorder="1" applyAlignment="1" applyProtection="1">
      <alignment horizontal="center" vertical="center" wrapText="1"/>
    </xf>
    <xf numFmtId="0" fontId="21" fillId="0" borderId="5" xfId="6" applyFont="1" applyBorder="1" applyAlignment="1" applyProtection="1">
      <alignment horizontal="center" vertical="center"/>
    </xf>
    <xf numFmtId="3" fontId="41" fillId="7" borderId="17" xfId="6" applyNumberFormat="1" applyFont="1" applyFill="1" applyBorder="1" applyAlignment="1" applyProtection="1">
      <alignment horizontal="center" vertical="center"/>
      <protection locked="0"/>
    </xf>
    <xf numFmtId="175" fontId="59" fillId="8" borderId="5" xfId="6" applyNumberFormat="1" applyFont="1" applyFill="1" applyBorder="1" applyAlignment="1" applyProtection="1">
      <alignment horizontal="center" vertical="center"/>
    </xf>
    <xf numFmtId="175" fontId="59" fillId="8" borderId="5" xfId="6" applyNumberFormat="1" applyFont="1" applyFill="1" applyBorder="1" applyAlignment="1" applyProtection="1">
      <alignment horizontal="left" vertical="center"/>
    </xf>
    <xf numFmtId="4" fontId="21" fillId="0" borderId="17" xfId="6" applyNumberFormat="1" applyFont="1" applyBorder="1" applyAlignment="1" applyProtection="1">
      <alignment horizontal="center" vertical="center"/>
      <protection locked="0"/>
    </xf>
    <xf numFmtId="176" fontId="21" fillId="5" borderId="5" xfId="6" applyNumberFormat="1" applyFont="1" applyFill="1" applyBorder="1" applyAlignment="1" applyProtection="1">
      <alignment horizontal="center" vertical="center"/>
    </xf>
    <xf numFmtId="176" fontId="21" fillId="5" borderId="33" xfId="6" applyNumberFormat="1" applyFont="1" applyFill="1" applyBorder="1" applyAlignment="1" applyProtection="1">
      <alignment horizontal="center" vertical="center"/>
    </xf>
    <xf numFmtId="177" fontId="59" fillId="12" borderId="17" xfId="6" applyNumberFormat="1" applyFont="1" applyFill="1" applyBorder="1" applyAlignment="1" applyProtection="1">
      <alignment horizontal="center" vertical="center"/>
    </xf>
    <xf numFmtId="177" fontId="59" fillId="12" borderId="5" xfId="6" applyNumberFormat="1" applyFont="1" applyFill="1" applyBorder="1" applyAlignment="1" applyProtection="1">
      <alignment horizontal="center" vertical="center"/>
    </xf>
    <xf numFmtId="177" fontId="58" fillId="8" borderId="5" xfId="6" applyNumberFormat="1" applyFont="1" applyFill="1" applyBorder="1" applyAlignment="1" applyProtection="1">
      <alignment horizontal="center" vertical="center"/>
    </xf>
    <xf numFmtId="177" fontId="58" fillId="8" borderId="27" xfId="6" applyNumberFormat="1" applyFont="1" applyFill="1" applyBorder="1" applyAlignment="1" applyProtection="1">
      <alignment horizontal="center" vertical="center"/>
    </xf>
    <xf numFmtId="177" fontId="59" fillId="12" borderId="28" xfId="6" applyNumberFormat="1" applyFont="1" applyFill="1" applyBorder="1" applyAlignment="1" applyProtection="1">
      <alignment horizontal="center" vertical="center"/>
    </xf>
    <xf numFmtId="177" fontId="58" fillId="12" borderId="17" xfId="6" applyNumberFormat="1" applyFont="1" applyFill="1" applyBorder="1" applyAlignment="1" applyProtection="1">
      <alignment horizontal="center" vertical="center"/>
    </xf>
    <xf numFmtId="174" fontId="58" fillId="12" borderId="14" xfId="6" applyNumberFormat="1" applyFont="1" applyFill="1" applyBorder="1" applyAlignment="1" applyProtection="1">
      <alignment horizontal="center" vertical="center"/>
    </xf>
    <xf numFmtId="167" fontId="21" fillId="9" borderId="28" xfId="6" applyNumberFormat="1" applyFont="1" applyFill="1" applyBorder="1" applyAlignment="1" applyProtection="1">
      <alignment horizontal="center" vertical="center"/>
    </xf>
    <xf numFmtId="167" fontId="22" fillId="9" borderId="17" xfId="6" applyNumberFormat="1" applyFont="1" applyFill="1" applyBorder="1" applyAlignment="1" applyProtection="1">
      <alignment horizontal="center" vertical="center"/>
    </xf>
    <xf numFmtId="167" fontId="36" fillId="5" borderId="5" xfId="6" applyNumberFormat="1" applyFont="1" applyFill="1" applyBorder="1" applyAlignment="1" applyProtection="1">
      <alignment horizontal="center" vertical="center"/>
    </xf>
    <xf numFmtId="167" fontId="21" fillId="0" borderId="5" xfId="6" applyNumberFormat="1" applyFont="1" applyBorder="1" applyAlignment="1" applyProtection="1">
      <alignment horizontal="center" vertical="center"/>
    </xf>
    <xf numFmtId="167" fontId="22" fillId="8" borderId="5" xfId="6" applyNumberFormat="1" applyFont="1" applyFill="1" applyBorder="1" applyAlignment="1" applyProtection="1">
      <alignment horizontal="center" vertical="center"/>
    </xf>
    <xf numFmtId="167" fontId="22" fillId="9" borderId="5" xfId="6" applyNumberFormat="1" applyFont="1" applyFill="1" applyBorder="1" applyAlignment="1" applyProtection="1">
      <alignment horizontal="center" vertical="center"/>
    </xf>
    <xf numFmtId="178" fontId="21" fillId="0" borderId="0" xfId="6" applyNumberFormat="1" applyFont="1" applyAlignment="1" applyProtection="1">
      <alignment horizontal="center" vertical="center"/>
    </xf>
    <xf numFmtId="175" fontId="41" fillId="7" borderId="5" xfId="6" applyNumberFormat="1" applyFont="1" applyFill="1" applyBorder="1" applyAlignment="1" applyProtection="1">
      <alignment horizontal="center" vertical="center"/>
    </xf>
    <xf numFmtId="177" fontId="58" fillId="18" borderId="5" xfId="6" applyNumberFormat="1" applyFont="1" applyFill="1" applyBorder="1" applyAlignment="1" applyProtection="1">
      <alignment horizontal="center" vertical="center"/>
    </xf>
    <xf numFmtId="175" fontId="59" fillId="8" borderId="27" xfId="6" applyNumberFormat="1" applyFont="1" applyFill="1" applyBorder="1" applyAlignment="1" applyProtection="1">
      <alignment horizontal="left" vertical="center"/>
    </xf>
    <xf numFmtId="3" fontId="41" fillId="7" borderId="17" xfId="6" quotePrefix="1" applyNumberFormat="1" applyFont="1" applyFill="1" applyBorder="1" applyAlignment="1" applyProtection="1">
      <alignment horizontal="center" vertical="center"/>
    </xf>
    <xf numFmtId="167" fontId="21" fillId="0" borderId="5" xfId="6" applyNumberFormat="1" applyFont="1" applyFill="1" applyBorder="1" applyAlignment="1" applyProtection="1">
      <alignment horizontal="center" vertical="center"/>
    </xf>
    <xf numFmtId="0" fontId="36" fillId="0" borderId="18" xfId="6" applyFont="1" applyBorder="1" applyAlignment="1" applyProtection="1">
      <alignment horizontal="left" vertical="center"/>
    </xf>
    <xf numFmtId="0" fontId="22" fillId="7" borderId="23" xfId="6" applyFont="1" applyFill="1" applyBorder="1" applyAlignment="1" applyProtection="1">
      <alignment horizontal="center" vertical="center" wrapText="1"/>
    </xf>
    <xf numFmtId="0" fontId="22" fillId="5" borderId="22" xfId="6" applyFont="1" applyFill="1" applyBorder="1" applyAlignment="1" applyProtection="1">
      <alignment horizontal="center" vertical="center" wrapText="1"/>
    </xf>
    <xf numFmtId="0" fontId="22" fillId="0" borderId="26" xfId="6" applyFont="1" applyBorder="1" applyAlignment="1" applyProtection="1">
      <alignment horizontal="center" vertical="center" wrapText="1"/>
    </xf>
    <xf numFmtId="0" fontId="21" fillId="0" borderId="2" xfId="6" applyFont="1" applyBorder="1" applyAlignment="1" applyProtection="1">
      <alignment horizontal="center" vertical="center"/>
    </xf>
    <xf numFmtId="176" fontId="21" fillId="5" borderId="27" xfId="6" applyNumberFormat="1" applyFont="1" applyFill="1" applyBorder="1" applyAlignment="1" applyProtection="1">
      <alignment horizontal="center" vertical="center"/>
    </xf>
    <xf numFmtId="180" fontId="21" fillId="0" borderId="17" xfId="6" applyNumberFormat="1" applyFont="1" applyBorder="1" applyAlignment="1" applyProtection="1">
      <alignment horizontal="center" vertical="center"/>
      <protection locked="0"/>
    </xf>
    <xf numFmtId="0" fontId="22" fillId="7" borderId="31" xfId="6" applyFont="1" applyFill="1" applyBorder="1" applyAlignment="1" applyProtection="1">
      <alignment horizontal="center" vertical="center" wrapText="1"/>
    </xf>
    <xf numFmtId="0" fontId="58" fillId="8" borderId="35" xfId="6" applyFont="1" applyFill="1" applyBorder="1" applyAlignment="1" applyProtection="1">
      <alignment horizontal="center" vertical="center" wrapText="1"/>
    </xf>
    <xf numFmtId="3" fontId="41" fillId="7" borderId="28" xfId="6" applyNumberFormat="1" applyFont="1" applyFill="1" applyBorder="1" applyAlignment="1" applyProtection="1">
      <alignment horizontal="center" vertical="center"/>
      <protection locked="0"/>
    </xf>
    <xf numFmtId="179" fontId="59" fillId="8" borderId="33" xfId="6" applyNumberFormat="1" applyFont="1" applyFill="1" applyBorder="1" applyAlignment="1" applyProtection="1">
      <alignment horizontal="center" vertical="center"/>
    </xf>
    <xf numFmtId="0" fontId="22" fillId="0" borderId="30" xfId="6" applyFont="1" applyFill="1" applyBorder="1" applyAlignment="1" applyProtection="1">
      <alignment horizontal="center" vertical="center" wrapText="1"/>
    </xf>
    <xf numFmtId="177" fontId="58" fillId="8" borderId="36" xfId="6" applyNumberFormat="1" applyFont="1" applyFill="1" applyBorder="1" applyAlignment="1" applyProtection="1">
      <alignment horizontal="center" vertical="center"/>
    </xf>
    <xf numFmtId="0" fontId="3" fillId="0" borderId="0" xfId="6" applyFont="1" applyAlignment="1" applyProtection="1">
      <alignment horizontal="left" vertical="top" wrapText="1"/>
    </xf>
    <xf numFmtId="174" fontId="3" fillId="0" borderId="0" xfId="6" applyNumberFormat="1" applyFont="1" applyAlignment="1" applyProtection="1">
      <alignment horizontal="left" vertical="top" wrapText="1"/>
    </xf>
    <xf numFmtId="0" fontId="36" fillId="0" borderId="18" xfId="6" applyFont="1" applyBorder="1" applyAlignment="1" applyProtection="1">
      <alignment horizontal="center" vertical="center"/>
    </xf>
    <xf numFmtId="176" fontId="21" fillId="0" borderId="27" xfId="6" applyNumberFormat="1" applyFont="1" applyFill="1" applyBorder="1" applyAlignment="1" applyProtection="1">
      <alignment horizontal="center" vertical="center"/>
    </xf>
    <xf numFmtId="167" fontId="21" fillId="0" borderId="0" xfId="6" applyNumberFormat="1" applyFont="1" applyAlignment="1" applyProtection="1">
      <alignment horizontal="center" vertical="center"/>
    </xf>
    <xf numFmtId="0" fontId="30" fillId="0" borderId="0" xfId="0" applyFont="1" applyAlignment="1">
      <alignment horizontal="center"/>
    </xf>
    <xf numFmtId="0" fontId="30" fillId="0" borderId="0" xfId="0" applyFont="1" applyAlignment="1">
      <alignment horizontal="center"/>
    </xf>
    <xf numFmtId="0" fontId="30" fillId="0" borderId="0" xfId="0" applyFont="1" applyAlignment="1">
      <alignment horizontal="center"/>
    </xf>
    <xf numFmtId="0" fontId="30" fillId="0" borderId="0" xfId="0" applyFont="1" applyAlignment="1">
      <alignment horizontal="center"/>
    </xf>
    <xf numFmtId="0" fontId="30" fillId="0" borderId="0" xfId="0" applyFont="1" applyAlignment="1">
      <alignment horizontal="center"/>
    </xf>
    <xf numFmtId="3" fontId="12" fillId="0" borderId="13" xfId="0" applyNumberFormat="1" applyFont="1" applyFill="1" applyBorder="1" applyAlignment="1">
      <alignment horizontal="left"/>
    </xf>
    <xf numFmtId="183" fontId="31" fillId="0" borderId="0" xfId="0" applyNumberFormat="1" applyFont="1" applyFill="1" applyBorder="1" applyAlignment="1">
      <alignment horizontal="left"/>
    </xf>
    <xf numFmtId="0" fontId="6" fillId="0" borderId="4" xfId="0" applyFont="1" applyBorder="1" applyAlignment="1">
      <alignment horizontal="center"/>
    </xf>
    <xf numFmtId="185" fontId="21" fillId="0" borderId="4" xfId="0" applyNumberFormat="1" applyFont="1" applyFill="1" applyBorder="1" applyAlignment="1">
      <alignment horizontal="center"/>
    </xf>
    <xf numFmtId="0" fontId="6" fillId="0" borderId="5" xfId="0" applyFont="1" applyBorder="1" applyAlignment="1">
      <alignment horizontal="center"/>
    </xf>
    <xf numFmtId="0" fontId="12" fillId="10" borderId="6" xfId="0" applyFont="1" applyFill="1" applyBorder="1"/>
    <xf numFmtId="0" fontId="6" fillId="0" borderId="0" xfId="0" applyFont="1" applyFill="1" applyAlignment="1">
      <alignment vertical="center"/>
    </xf>
    <xf numFmtId="0" fontId="5" fillId="0" borderId="0" xfId="0" applyFont="1" applyFill="1" applyProtection="1">
      <protection hidden="1"/>
    </xf>
    <xf numFmtId="0" fontId="5" fillId="0" borderId="0" xfId="0" applyFont="1" applyFill="1" applyAlignment="1" applyProtection="1">
      <alignment vertical="center"/>
      <protection hidden="1"/>
    </xf>
    <xf numFmtId="0" fontId="6" fillId="0" borderId="0" xfId="0" applyFont="1" applyFill="1" applyBorder="1" applyAlignment="1">
      <alignment horizontal="center"/>
    </xf>
    <xf numFmtId="0" fontId="30" fillId="0" borderId="0" xfId="0" applyFont="1" applyAlignment="1">
      <alignment horizontal="center"/>
    </xf>
    <xf numFmtId="0" fontId="22" fillId="0" borderId="21" xfId="6" applyFont="1" applyBorder="1" applyAlignment="1" applyProtection="1">
      <alignment horizontal="center" vertical="center"/>
    </xf>
    <xf numFmtId="0" fontId="6" fillId="0" borderId="0" xfId="0" applyFont="1" applyFill="1" applyBorder="1" applyAlignment="1">
      <alignment horizontal="center"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28" fillId="0" borderId="0" xfId="0" applyFont="1" applyAlignment="1">
      <alignment vertical="center"/>
    </xf>
    <xf numFmtId="172" fontId="6" fillId="0" borderId="0" xfId="0" applyNumberFormat="1" applyFont="1" applyAlignment="1">
      <alignment horizontal="center" vertical="center"/>
    </xf>
    <xf numFmtId="0" fontId="12" fillId="0" borderId="0" xfId="0" applyFont="1" applyAlignment="1">
      <alignment vertical="center"/>
    </xf>
    <xf numFmtId="183" fontId="6" fillId="0" borderId="0" xfId="0" applyNumberFormat="1" applyFont="1" applyAlignment="1">
      <alignment vertical="center"/>
    </xf>
    <xf numFmtId="4" fontId="6" fillId="0" borderId="0" xfId="0" applyNumberFormat="1" applyFont="1" applyAlignment="1">
      <alignment vertical="center"/>
    </xf>
    <xf numFmtId="0" fontId="12" fillId="0" borderId="0" xfId="0" applyFont="1" applyFill="1" applyBorder="1" applyAlignment="1">
      <alignment horizontal="left" vertical="center"/>
    </xf>
    <xf numFmtId="0" fontId="5" fillId="0" borderId="0" xfId="0" quotePrefix="1" applyFont="1" applyFill="1" applyBorder="1" applyAlignment="1">
      <alignment vertical="center"/>
    </xf>
    <xf numFmtId="0" fontId="6" fillId="0" borderId="0" xfId="0" applyFont="1" applyAlignment="1">
      <alignment horizontal="left" vertical="center"/>
    </xf>
    <xf numFmtId="2" fontId="5" fillId="0" borderId="0" xfId="0" applyNumberFormat="1" applyFont="1" applyAlignment="1">
      <alignment horizontal="left" vertical="center"/>
    </xf>
    <xf numFmtId="0" fontId="28" fillId="0" borderId="0" xfId="0" applyFont="1" applyFill="1" applyBorder="1" applyAlignment="1">
      <alignment vertical="center"/>
    </xf>
    <xf numFmtId="0" fontId="6" fillId="0" borderId="0" xfId="0" applyFont="1" applyAlignment="1">
      <alignment horizontal="right" vertical="center"/>
    </xf>
    <xf numFmtId="2" fontId="6" fillId="0" borderId="0" xfId="0" applyNumberFormat="1" applyFont="1" applyAlignment="1">
      <alignment horizontal="center" vertical="center"/>
    </xf>
    <xf numFmtId="0" fontId="12" fillId="0" borderId="0" xfId="0" applyFont="1" applyAlignment="1">
      <alignment horizontal="center" vertical="center"/>
    </xf>
    <xf numFmtId="10" fontId="6" fillId="0" borderId="0" xfId="0" applyNumberFormat="1" applyFont="1" applyFill="1" applyBorder="1" applyAlignment="1">
      <alignment vertical="center"/>
    </xf>
    <xf numFmtId="9" fontId="6" fillId="0" borderId="0" xfId="0" applyNumberFormat="1" applyFont="1" applyFill="1" applyBorder="1" applyAlignment="1">
      <alignment vertical="center"/>
    </xf>
    <xf numFmtId="4" fontId="6" fillId="0" borderId="0" xfId="0" applyNumberFormat="1" applyFont="1" applyFill="1" applyBorder="1" applyAlignment="1">
      <alignment vertical="center"/>
    </xf>
    <xf numFmtId="3" fontId="6" fillId="0" borderId="0" xfId="0" applyNumberFormat="1" applyFont="1" applyFill="1" applyBorder="1" applyAlignment="1">
      <alignment vertical="center"/>
    </xf>
    <xf numFmtId="0" fontId="5" fillId="0" borderId="0" xfId="0" applyFont="1" applyFill="1" applyBorder="1" applyAlignment="1">
      <alignment horizontal="right" vertical="center"/>
    </xf>
    <xf numFmtId="0" fontId="32" fillId="0" borderId="0" xfId="0" applyFont="1" applyFill="1" applyBorder="1" applyAlignment="1">
      <alignment horizontal="center" vertical="center"/>
    </xf>
    <xf numFmtId="172" fontId="6" fillId="0" borderId="0" xfId="0" applyNumberFormat="1" applyFont="1" applyFill="1" applyBorder="1" applyAlignment="1">
      <alignment vertical="center"/>
    </xf>
    <xf numFmtId="0" fontId="13" fillId="0" borderId="0" xfId="0" applyFont="1" applyFill="1" applyBorder="1" applyAlignment="1">
      <alignment vertical="center"/>
    </xf>
    <xf numFmtId="0" fontId="6" fillId="0" borderId="0" xfId="0" applyFont="1" applyAlignment="1" applyProtection="1">
      <alignment vertical="center"/>
    </xf>
    <xf numFmtId="169" fontId="6" fillId="0" borderId="0" xfId="0" applyNumberFormat="1" applyFont="1" applyAlignment="1">
      <alignment vertical="center"/>
    </xf>
    <xf numFmtId="164" fontId="27" fillId="0" borderId="0" xfId="0" applyNumberFormat="1" applyFont="1" applyAlignment="1">
      <alignment vertical="center"/>
    </xf>
    <xf numFmtId="0" fontId="12" fillId="0" borderId="0" xfId="0" applyFont="1" applyFill="1" applyBorder="1" applyAlignment="1">
      <alignment horizontal="center" vertical="center"/>
    </xf>
    <xf numFmtId="0" fontId="6" fillId="0" borderId="0" xfId="0" quotePrefix="1" applyFont="1" applyAlignment="1" applyProtection="1">
      <alignment vertical="center"/>
    </xf>
    <xf numFmtId="9" fontId="13" fillId="0" borderId="0" xfId="0" applyNumberFormat="1" applyFont="1" applyFill="1" applyBorder="1" applyAlignment="1">
      <alignment horizontal="right" vertical="center"/>
    </xf>
    <xf numFmtId="3" fontId="13" fillId="0" borderId="0" xfId="0" applyNumberFormat="1" applyFont="1" applyFill="1" applyBorder="1" applyAlignment="1">
      <alignment horizontal="center" vertical="center"/>
    </xf>
    <xf numFmtId="164" fontId="6" fillId="0" borderId="0" xfId="0" applyNumberFormat="1" applyFont="1" applyAlignment="1">
      <alignment vertical="center"/>
    </xf>
    <xf numFmtId="0" fontId="6" fillId="0" borderId="0" xfId="6" applyFont="1" applyAlignment="1">
      <alignment horizontal="left" vertical="center"/>
    </xf>
    <xf numFmtId="0" fontId="28" fillId="0" borderId="0" xfId="6" applyFont="1" applyAlignment="1">
      <alignment horizontal="right" vertical="center"/>
    </xf>
    <xf numFmtId="0" fontId="28" fillId="0" borderId="0" xfId="6" applyFont="1" applyAlignment="1">
      <alignment horizontal="left" vertical="center"/>
    </xf>
    <xf numFmtId="1" fontId="6" fillId="0" borderId="0" xfId="6" applyNumberFormat="1" applyFont="1" applyAlignment="1">
      <alignment horizontal="left" vertical="center"/>
    </xf>
    <xf numFmtId="0" fontId="6" fillId="0" borderId="0" xfId="6" applyFont="1" applyAlignment="1">
      <alignment horizontal="center" vertical="center"/>
    </xf>
    <xf numFmtId="49" fontId="6" fillId="0" borderId="0" xfId="6" quotePrefix="1" applyNumberFormat="1" applyFont="1" applyAlignment="1">
      <alignment horizontal="left" vertical="center"/>
    </xf>
    <xf numFmtId="0" fontId="28" fillId="0" borderId="0" xfId="6" applyFont="1" applyAlignment="1">
      <alignment horizontal="center" vertical="center"/>
    </xf>
    <xf numFmtId="49" fontId="28" fillId="0" borderId="0" xfId="6" applyNumberFormat="1" applyFont="1" applyAlignment="1">
      <alignment horizontal="left" vertical="center"/>
    </xf>
    <xf numFmtId="0" fontId="5" fillId="0" borderId="0" xfId="6" applyFont="1" applyAlignment="1">
      <alignment vertical="center"/>
    </xf>
    <xf numFmtId="0" fontId="6" fillId="0" borderId="0" xfId="6" applyFont="1" applyAlignment="1">
      <alignment vertical="center"/>
    </xf>
    <xf numFmtId="0" fontId="6" fillId="0" borderId="0" xfId="6" applyFont="1" applyAlignment="1">
      <alignment horizontal="right" vertical="center"/>
    </xf>
    <xf numFmtId="0" fontId="20" fillId="0" borderId="0" xfId="0" applyFont="1" applyAlignment="1">
      <alignment horizontal="left" vertical="center"/>
    </xf>
    <xf numFmtId="0" fontId="20" fillId="0" borderId="0" xfId="0" applyFont="1" applyAlignment="1">
      <alignment vertical="center"/>
    </xf>
    <xf numFmtId="0" fontId="0" fillId="0" borderId="0" xfId="0" applyFont="1" applyAlignment="1">
      <alignment vertical="center"/>
    </xf>
    <xf numFmtId="0" fontId="0" fillId="0" borderId="0" xfId="0" applyAlignment="1">
      <alignment vertical="center"/>
    </xf>
    <xf numFmtId="49" fontId="6" fillId="0" borderId="0" xfId="0" applyNumberFormat="1" applyFont="1" applyAlignment="1">
      <alignment horizontal="left" vertical="center"/>
    </xf>
    <xf numFmtId="0" fontId="6" fillId="0" borderId="0" xfId="0" applyFont="1" applyBorder="1" applyAlignment="1">
      <alignment horizontal="left" vertical="center"/>
    </xf>
    <xf numFmtId="0" fontId="5" fillId="0" borderId="0" xfId="0" applyFont="1" applyAlignment="1">
      <alignment horizontal="center" vertical="center"/>
    </xf>
    <xf numFmtId="164" fontId="5" fillId="0" borderId="0" xfId="0" applyNumberFormat="1" applyFont="1" applyAlignment="1">
      <alignment horizontal="right" vertical="center"/>
    </xf>
    <xf numFmtId="0" fontId="48" fillId="0" borderId="0" xfId="0" applyFont="1" applyFill="1" applyBorder="1" applyAlignment="1">
      <alignment vertical="center"/>
    </xf>
    <xf numFmtId="0" fontId="6" fillId="0" borderId="0" xfId="0" applyFont="1" applyFill="1" applyAlignment="1">
      <alignment horizontal="right" vertical="center"/>
    </xf>
    <xf numFmtId="0" fontId="28" fillId="0" borderId="0" xfId="0" applyFont="1" applyFill="1" applyAlignment="1">
      <alignment vertical="center"/>
    </xf>
    <xf numFmtId="0" fontId="5" fillId="0" borderId="0" xfId="0" applyFont="1" applyFill="1" applyAlignment="1">
      <alignment horizontal="left" indent="1"/>
    </xf>
    <xf numFmtId="0" fontId="5" fillId="0" borderId="0" xfId="0" applyFont="1" applyAlignment="1">
      <alignment horizontal="left" vertical="center"/>
    </xf>
    <xf numFmtId="0" fontId="5" fillId="0" borderId="0" xfId="6" applyFont="1" applyAlignment="1">
      <alignment horizontal="left" vertical="center"/>
    </xf>
    <xf numFmtId="4" fontId="6" fillId="0" borderId="0" xfId="0" applyNumberFormat="1" applyFont="1" applyFill="1"/>
    <xf numFmtId="0" fontId="6" fillId="16" borderId="0" xfId="0" applyFont="1" applyFill="1" applyAlignment="1">
      <alignment horizontal="left" vertical="center"/>
    </xf>
    <xf numFmtId="0" fontId="5" fillId="16" borderId="0" xfId="0" applyFont="1" applyFill="1" applyAlignment="1">
      <alignment horizontal="left" vertical="center"/>
    </xf>
    <xf numFmtId="2" fontId="5" fillId="16" borderId="0" xfId="0" applyNumberFormat="1" applyFont="1" applyFill="1" applyAlignment="1">
      <alignment horizontal="left" vertical="center"/>
    </xf>
    <xf numFmtId="0" fontId="6" fillId="16" borderId="0" xfId="0" applyFont="1" applyFill="1" applyBorder="1" applyAlignment="1">
      <alignment horizontal="left" vertical="center"/>
    </xf>
    <xf numFmtId="0" fontId="28" fillId="16" borderId="0" xfId="0" applyFont="1" applyFill="1" applyAlignment="1">
      <alignment horizontal="left" vertical="center"/>
    </xf>
    <xf numFmtId="4" fontId="10" fillId="12" borderId="74" xfId="0" applyNumberFormat="1" applyFont="1" applyFill="1" applyBorder="1" applyAlignment="1">
      <alignment horizontal="center"/>
    </xf>
    <xf numFmtId="0" fontId="6" fillId="0" borderId="66" xfId="0" applyFont="1" applyFill="1" applyBorder="1" applyAlignment="1">
      <alignment horizontal="center" vertical="top" wrapText="1"/>
    </xf>
    <xf numFmtId="0" fontId="6" fillId="0" borderId="0" xfId="0" applyFont="1" applyFill="1" applyBorder="1" applyAlignment="1">
      <alignment horizontal="center"/>
    </xf>
    <xf numFmtId="0" fontId="6" fillId="0" borderId="16" xfId="0" applyFont="1" applyFill="1" applyBorder="1" applyAlignment="1">
      <alignment horizontal="center"/>
    </xf>
    <xf numFmtId="0" fontId="6" fillId="0" borderId="57" xfId="0" applyFont="1" applyFill="1" applyBorder="1" applyAlignment="1">
      <alignment horizontal="center" vertical="top" wrapText="1"/>
    </xf>
    <xf numFmtId="0" fontId="6" fillId="0" borderId="64" xfId="0" applyFont="1" applyFill="1" applyBorder="1" applyAlignment="1">
      <alignment horizontal="center" vertical="top" wrapText="1"/>
    </xf>
    <xf numFmtId="0" fontId="6" fillId="0" borderId="9" xfId="0" applyFont="1" applyFill="1" applyBorder="1" applyAlignment="1">
      <alignment horizontal="center"/>
    </xf>
    <xf numFmtId="3" fontId="6" fillId="0" borderId="16" xfId="0" applyNumberFormat="1" applyFont="1" applyFill="1" applyBorder="1" applyAlignment="1">
      <alignment horizontal="center"/>
    </xf>
    <xf numFmtId="0" fontId="6" fillId="0" borderId="67" xfId="0" applyFont="1" applyFill="1" applyBorder="1" applyAlignment="1">
      <alignment horizontal="center"/>
    </xf>
    <xf numFmtId="0" fontId="5" fillId="0" borderId="47" xfId="0" applyFont="1" applyFill="1" applyBorder="1" applyAlignment="1">
      <alignment horizontal="center"/>
    </xf>
    <xf numFmtId="4" fontId="6" fillId="0" borderId="9" xfId="0" applyNumberFormat="1" applyFont="1" applyFill="1" applyBorder="1" applyAlignment="1">
      <alignment horizontal="center"/>
    </xf>
    <xf numFmtId="4" fontId="6" fillId="0" borderId="16" xfId="0" applyNumberFormat="1" applyFont="1" applyFill="1" applyBorder="1" applyAlignment="1">
      <alignment horizontal="center"/>
    </xf>
    <xf numFmtId="0" fontId="30" fillId="0" borderId="0" xfId="0" applyFont="1" applyAlignment="1">
      <alignment horizontal="center"/>
    </xf>
    <xf numFmtId="0" fontId="30" fillId="0" borderId="0" xfId="0" applyFont="1" applyAlignment="1">
      <alignment horizontal="center"/>
    </xf>
    <xf numFmtId="0" fontId="6" fillId="0" borderId="14" xfId="0" applyFont="1" applyFill="1" applyBorder="1" applyAlignment="1">
      <alignment horizontal="left"/>
    </xf>
    <xf numFmtId="173" fontId="5" fillId="0" borderId="0" xfId="0" applyNumberFormat="1" applyFont="1" applyFill="1" applyBorder="1" applyAlignment="1">
      <alignment horizontal="center"/>
    </xf>
    <xf numFmtId="0" fontId="30" fillId="0" borderId="0" xfId="0" applyFont="1" applyAlignment="1">
      <alignment horizontal="center"/>
    </xf>
    <xf numFmtId="0" fontId="6" fillId="0" borderId="0" xfId="0" applyFont="1" applyFill="1" applyBorder="1" applyAlignment="1">
      <alignment horizontal="center"/>
    </xf>
    <xf numFmtId="0" fontId="30" fillId="0" borderId="0" xfId="0" applyFont="1" applyAlignment="1">
      <alignment horizontal="center"/>
    </xf>
    <xf numFmtId="0" fontId="20" fillId="0" borderId="9" xfId="0" applyFont="1" applyFill="1" applyBorder="1" applyAlignment="1">
      <alignment horizontal="center"/>
    </xf>
    <xf numFmtId="0" fontId="20" fillId="0" borderId="0" xfId="0" applyFont="1" applyFill="1" applyBorder="1" applyAlignment="1">
      <alignment horizontal="center"/>
    </xf>
    <xf numFmtId="0" fontId="20" fillId="0" borderId="0" xfId="0" applyFont="1" applyFill="1" applyBorder="1" applyAlignment="1">
      <alignment horizontal="left"/>
    </xf>
    <xf numFmtId="0" fontId="81" fillId="0" borderId="0" xfId="0" applyFont="1" applyFill="1" applyBorder="1" applyAlignment="1">
      <alignment vertical="center"/>
    </xf>
    <xf numFmtId="3" fontId="81" fillId="0" borderId="0" xfId="0" applyNumberFormat="1" applyFont="1" applyFill="1" applyBorder="1" applyAlignment="1">
      <alignment vertical="center"/>
    </xf>
    <xf numFmtId="0" fontId="81" fillId="42" borderId="0" xfId="0" applyFont="1" applyFill="1" applyBorder="1" applyAlignment="1">
      <alignment vertical="center"/>
    </xf>
    <xf numFmtId="0" fontId="30" fillId="0" borderId="0" xfId="0" applyFont="1" applyAlignment="1">
      <alignment horizontal="center"/>
    </xf>
    <xf numFmtId="0" fontId="6" fillId="0" borderId="0" xfId="0" applyFont="1" applyFill="1" applyAlignment="1" applyProtection="1">
      <alignment vertical="center"/>
    </xf>
    <xf numFmtId="186" fontId="6" fillId="0" borderId="0" xfId="0" applyNumberFormat="1" applyFont="1" applyFill="1" applyAlignment="1">
      <alignment vertical="center"/>
    </xf>
    <xf numFmtId="0" fontId="6" fillId="0" borderId="0" xfId="0" quotePrefix="1" applyFont="1" applyFill="1" applyAlignment="1" applyProtection="1">
      <alignment vertical="center"/>
    </xf>
    <xf numFmtId="0" fontId="5" fillId="0" borderId="0" xfId="0" applyFont="1" applyFill="1" applyAlignment="1">
      <alignment vertical="center"/>
    </xf>
    <xf numFmtId="0" fontId="81" fillId="14" borderId="0" xfId="0" applyFont="1" applyFill="1" applyBorder="1" applyAlignment="1">
      <alignment vertical="center"/>
    </xf>
    <xf numFmtId="0" fontId="39" fillId="0" borderId="0" xfId="0" applyFont="1" applyAlignment="1">
      <alignment horizontal="left" vertical="center"/>
    </xf>
    <xf numFmtId="0" fontId="10" fillId="3" borderId="9" xfId="0" applyFont="1" applyFill="1" applyBorder="1"/>
    <xf numFmtId="0" fontId="46" fillId="19" borderId="72" xfId="0" applyFont="1" applyFill="1" applyBorder="1" applyAlignment="1" applyProtection="1">
      <alignment vertical="center"/>
      <protection locked="0"/>
    </xf>
    <xf numFmtId="0" fontId="6" fillId="0" borderId="57" xfId="0" applyFont="1" applyFill="1" applyBorder="1" applyProtection="1">
      <protection locked="0"/>
    </xf>
    <xf numFmtId="0" fontId="6" fillId="0" borderId="46" xfId="0" applyFont="1" applyFill="1" applyBorder="1" applyAlignment="1" applyProtection="1">
      <alignment horizontal="center"/>
      <protection locked="0"/>
    </xf>
    <xf numFmtId="0" fontId="6" fillId="0" borderId="0" xfId="0" applyFont="1" applyFill="1" applyBorder="1" applyProtection="1">
      <protection locked="0"/>
    </xf>
    <xf numFmtId="3" fontId="10" fillId="20" borderId="30" xfId="0" applyNumberFormat="1" applyFont="1" applyFill="1" applyBorder="1" applyAlignment="1" applyProtection="1">
      <alignment vertical="center"/>
      <protection locked="0"/>
    </xf>
    <xf numFmtId="3" fontId="10" fillId="0" borderId="0" xfId="0" applyNumberFormat="1" applyFont="1" applyFill="1" applyBorder="1" applyProtection="1">
      <protection locked="0"/>
    </xf>
    <xf numFmtId="3" fontId="6" fillId="0" borderId="0" xfId="0" applyNumberFormat="1" applyFont="1" applyFill="1" applyBorder="1" applyProtection="1">
      <protection locked="0"/>
    </xf>
    <xf numFmtId="3" fontId="81" fillId="0" borderId="19" xfId="0" applyNumberFormat="1" applyFont="1" applyFill="1" applyBorder="1" applyProtection="1">
      <protection locked="0"/>
    </xf>
    <xf numFmtId="3" fontId="81" fillId="0" borderId="0" xfId="0" applyNumberFormat="1" applyFont="1" applyFill="1" applyBorder="1" applyProtection="1">
      <protection locked="0"/>
    </xf>
    <xf numFmtId="3" fontId="6" fillId="0" borderId="14" xfId="0" applyNumberFormat="1" applyFont="1" applyFill="1" applyBorder="1" applyProtection="1">
      <protection locked="0"/>
    </xf>
    <xf numFmtId="0" fontId="28" fillId="0" borderId="0" xfId="0" applyFont="1" applyAlignment="1" applyProtection="1">
      <alignment horizontal="center"/>
      <protection locked="0"/>
    </xf>
    <xf numFmtId="0" fontId="6" fillId="0" borderId="0" xfId="0" applyFont="1" applyProtection="1">
      <protection locked="0"/>
    </xf>
    <xf numFmtId="4" fontId="6" fillId="0" borderId="0" xfId="0" applyNumberFormat="1" applyFont="1" applyFill="1" applyBorder="1" applyProtection="1">
      <protection locked="0"/>
    </xf>
    <xf numFmtId="164" fontId="28" fillId="0" borderId="0" xfId="0" applyNumberFormat="1" applyFont="1" applyFill="1" applyBorder="1" applyProtection="1">
      <protection locked="0"/>
    </xf>
    <xf numFmtId="0" fontId="6" fillId="0" borderId="0" xfId="6" applyFont="1" applyAlignment="1" applyProtection="1">
      <alignment horizontal="left" indent="1"/>
      <protection locked="0"/>
    </xf>
    <xf numFmtId="0" fontId="28" fillId="0" borderId="0" xfId="6" applyFont="1" applyAlignment="1" applyProtection="1">
      <alignment horizontal="left" indent="1"/>
      <protection locked="0"/>
    </xf>
    <xf numFmtId="0" fontId="6" fillId="0" borderId="0" xfId="6" applyFont="1" applyAlignment="1" applyProtection="1">
      <alignment horizontal="center"/>
      <protection locked="0"/>
    </xf>
    <xf numFmtId="0" fontId="6" fillId="0" borderId="0" xfId="0" applyFont="1" applyAlignment="1" applyProtection="1">
      <alignment horizontal="left" indent="1"/>
      <protection locked="0"/>
    </xf>
    <xf numFmtId="0" fontId="6" fillId="0" borderId="0" xfId="0" applyFont="1" applyAlignment="1" applyProtection="1">
      <alignment horizontal="center"/>
      <protection locked="0"/>
    </xf>
    <xf numFmtId="0" fontId="9" fillId="0" borderId="0" xfId="0" applyFont="1" applyFill="1" applyBorder="1" applyProtection="1">
      <protection locked="0"/>
    </xf>
    <xf numFmtId="0" fontId="28" fillId="0" borderId="0" xfId="0" applyFont="1" applyFill="1" applyBorder="1" applyProtection="1">
      <protection locked="0"/>
    </xf>
    <xf numFmtId="4" fontId="6" fillId="0" borderId="0" xfId="0" applyNumberFormat="1" applyFont="1" applyFill="1" applyBorder="1" applyAlignment="1" applyProtection="1">
      <alignment horizontal="center"/>
      <protection locked="0"/>
    </xf>
    <xf numFmtId="4" fontId="6" fillId="0" borderId="75" xfId="0" applyNumberFormat="1" applyFont="1" applyFill="1" applyBorder="1" applyAlignment="1" applyProtection="1">
      <alignment horizontal="center"/>
      <protection locked="0"/>
    </xf>
    <xf numFmtId="3" fontId="6" fillId="0" borderId="14" xfId="0" applyNumberFormat="1" applyFont="1" applyFill="1" applyBorder="1" applyAlignment="1" applyProtection="1">
      <alignment horizontal="center"/>
      <protection locked="0"/>
    </xf>
    <xf numFmtId="0" fontId="9" fillId="20" borderId="30" xfId="0" applyFont="1" applyFill="1" applyBorder="1" applyAlignment="1" applyProtection="1">
      <alignment vertical="center"/>
      <protection locked="0"/>
    </xf>
    <xf numFmtId="0" fontId="6" fillId="15" borderId="30" xfId="0" applyFont="1" applyFill="1" applyBorder="1" applyAlignment="1" applyProtection="1">
      <alignment vertical="center"/>
      <protection hidden="1"/>
    </xf>
    <xf numFmtId="0" fontId="6" fillId="15" borderId="25" xfId="0" applyFont="1" applyFill="1" applyBorder="1" applyAlignment="1" applyProtection="1">
      <alignment vertical="center"/>
      <protection hidden="1"/>
    </xf>
    <xf numFmtId="0" fontId="6" fillId="0" borderId="0" xfId="0" applyFont="1" applyAlignment="1" applyProtection="1">
      <alignment vertical="center"/>
      <protection hidden="1"/>
    </xf>
    <xf numFmtId="0" fontId="6" fillId="15" borderId="62" xfId="0" applyFont="1" applyFill="1" applyBorder="1" applyAlignment="1" applyProtection="1">
      <alignment vertical="center"/>
      <protection hidden="1"/>
    </xf>
    <xf numFmtId="0" fontId="6" fillId="15" borderId="59" xfId="0" applyFont="1" applyFill="1" applyBorder="1" applyAlignment="1" applyProtection="1">
      <alignment vertical="center"/>
      <protection hidden="1"/>
    </xf>
    <xf numFmtId="0" fontId="12" fillId="15" borderId="65" xfId="0" applyFont="1" applyFill="1" applyBorder="1" applyAlignment="1" applyProtection="1">
      <alignment vertical="center"/>
      <protection hidden="1"/>
    </xf>
    <xf numFmtId="0" fontId="6" fillId="0" borderId="0" xfId="0" applyFont="1" applyFill="1" applyBorder="1" applyProtection="1">
      <protection hidden="1"/>
    </xf>
    <xf numFmtId="0" fontId="6" fillId="0" borderId="16" xfId="0" applyFont="1" applyFill="1" applyBorder="1" applyProtection="1">
      <protection hidden="1"/>
    </xf>
    <xf numFmtId="0" fontId="6" fillId="0" borderId="0" xfId="0" applyFont="1" applyFill="1" applyProtection="1">
      <protection hidden="1"/>
    </xf>
    <xf numFmtId="0" fontId="6" fillId="0" borderId="63" xfId="0" applyFont="1" applyFill="1" applyBorder="1" applyProtection="1">
      <protection hidden="1"/>
    </xf>
    <xf numFmtId="0" fontId="6" fillId="0" borderId="60" xfId="0" applyFont="1" applyFill="1" applyBorder="1" applyProtection="1">
      <protection hidden="1"/>
    </xf>
    <xf numFmtId="0" fontId="12" fillId="0" borderId="61" xfId="0" applyFont="1" applyFill="1" applyBorder="1" applyProtection="1">
      <protection hidden="1"/>
    </xf>
    <xf numFmtId="0" fontId="6" fillId="0" borderId="9" xfId="0" applyFont="1" applyFill="1" applyBorder="1" applyProtection="1">
      <protection hidden="1"/>
    </xf>
    <xf numFmtId="0" fontId="12" fillId="0" borderId="16" xfId="0" applyFont="1" applyFill="1" applyBorder="1" applyProtection="1">
      <protection hidden="1"/>
    </xf>
    <xf numFmtId="0" fontId="29" fillId="0" borderId="9" xfId="0" applyFont="1" applyBorder="1" applyProtection="1">
      <protection hidden="1"/>
    </xf>
    <xf numFmtId="4" fontId="6" fillId="0" borderId="0" xfId="0" applyNumberFormat="1" applyFont="1" applyFill="1" applyBorder="1" applyProtection="1">
      <protection hidden="1"/>
    </xf>
    <xf numFmtId="4" fontId="6" fillId="0" borderId="0" xfId="0" applyNumberFormat="1" applyFont="1" applyBorder="1" applyProtection="1">
      <protection hidden="1"/>
    </xf>
    <xf numFmtId="4" fontId="12" fillId="0" borderId="0" xfId="0" applyNumberFormat="1" applyFont="1" applyFill="1" applyBorder="1" applyProtection="1">
      <protection hidden="1"/>
    </xf>
    <xf numFmtId="0" fontId="6" fillId="0" borderId="0" xfId="0" applyFont="1" applyProtection="1">
      <protection hidden="1"/>
    </xf>
    <xf numFmtId="4" fontId="5" fillId="0" borderId="0" xfId="0" applyNumberFormat="1" applyFont="1" applyFill="1" applyBorder="1" applyProtection="1">
      <protection hidden="1"/>
    </xf>
    <xf numFmtId="4" fontId="12" fillId="0" borderId="16" xfId="0" applyNumberFormat="1" applyFont="1" applyFill="1" applyBorder="1" applyProtection="1">
      <protection hidden="1"/>
    </xf>
    <xf numFmtId="4" fontId="6" fillId="0" borderId="19" xfId="0" applyNumberFormat="1" applyFont="1" applyFill="1" applyBorder="1" applyProtection="1">
      <protection hidden="1"/>
    </xf>
    <xf numFmtId="4" fontId="12" fillId="0" borderId="44" xfId="0" applyNumberFormat="1" applyFont="1" applyFill="1" applyBorder="1" applyProtection="1">
      <protection hidden="1"/>
    </xf>
    <xf numFmtId="4" fontId="6" fillId="0" borderId="45" xfId="0" applyNumberFormat="1" applyFont="1" applyFill="1" applyBorder="1" applyProtection="1">
      <protection hidden="1"/>
    </xf>
    <xf numFmtId="4" fontId="6" fillId="0" borderId="9" xfId="0" applyNumberFormat="1" applyFont="1" applyFill="1" applyBorder="1" applyProtection="1">
      <protection hidden="1"/>
    </xf>
    <xf numFmtId="4" fontId="12" fillId="0" borderId="16" xfId="0" applyNumberFormat="1" applyFont="1" applyBorder="1" applyAlignment="1" applyProtection="1">
      <alignment horizontal="center"/>
      <protection hidden="1"/>
    </xf>
    <xf numFmtId="4" fontId="6" fillId="0" borderId="14" xfId="0" applyNumberFormat="1" applyFont="1" applyFill="1" applyBorder="1" applyProtection="1">
      <protection hidden="1"/>
    </xf>
    <xf numFmtId="4" fontId="6" fillId="0" borderId="14" xfId="0" applyNumberFormat="1" applyFont="1" applyBorder="1" applyProtection="1">
      <protection hidden="1"/>
    </xf>
    <xf numFmtId="4" fontId="12" fillId="0" borderId="14" xfId="0" applyNumberFormat="1" applyFont="1" applyFill="1" applyBorder="1" applyProtection="1">
      <protection hidden="1"/>
    </xf>
    <xf numFmtId="4" fontId="5" fillId="0" borderId="14" xfId="0" applyNumberFormat="1" applyFont="1" applyFill="1" applyBorder="1" applyProtection="1">
      <protection hidden="1"/>
    </xf>
    <xf numFmtId="4" fontId="12" fillId="0" borderId="17" xfId="0" applyNumberFormat="1" applyFont="1" applyFill="1" applyBorder="1" applyProtection="1">
      <protection hidden="1"/>
    </xf>
    <xf numFmtId="0" fontId="6" fillId="0" borderId="10" xfId="0" applyFont="1" applyFill="1" applyBorder="1" applyAlignment="1" applyProtection="1">
      <alignment horizontal="center" wrapText="1"/>
      <protection hidden="1"/>
    </xf>
    <xf numFmtId="170" fontId="6" fillId="0" borderId="14" xfId="0" applyNumberFormat="1" applyFont="1" applyFill="1" applyBorder="1" applyAlignment="1" applyProtection="1">
      <alignment horizontal="center" wrapText="1"/>
      <protection hidden="1"/>
    </xf>
    <xf numFmtId="170" fontId="6" fillId="0" borderId="14" xfId="0" applyNumberFormat="1" applyFont="1" applyBorder="1" applyAlignment="1" applyProtection="1">
      <alignment horizontal="center"/>
      <protection hidden="1"/>
    </xf>
    <xf numFmtId="0" fontId="12" fillId="0" borderId="17" xfId="0" applyFont="1" applyBorder="1" applyAlignment="1" applyProtection="1">
      <alignment horizontal="center"/>
      <protection hidden="1"/>
    </xf>
    <xf numFmtId="0" fontId="28" fillId="0" borderId="0" xfId="0" applyFont="1" applyBorder="1" applyAlignment="1" applyProtection="1">
      <alignment horizontal="center"/>
      <protection hidden="1"/>
    </xf>
    <xf numFmtId="0" fontId="29" fillId="0" borderId="0" xfId="0" applyFont="1" applyAlignment="1" applyProtection="1">
      <alignment horizontal="center"/>
      <protection hidden="1"/>
    </xf>
    <xf numFmtId="0" fontId="5" fillId="0" borderId="0" xfId="0" applyFont="1" applyBorder="1" applyProtection="1">
      <protection hidden="1"/>
    </xf>
    <xf numFmtId="3" fontId="6" fillId="0" borderId="9" xfId="0" applyNumberFormat="1" applyFont="1" applyFill="1" applyBorder="1" applyAlignment="1" applyProtection="1">
      <alignment horizontal="center"/>
      <protection locked="0"/>
    </xf>
    <xf numFmtId="0" fontId="6" fillId="0" borderId="39" xfId="0" applyFont="1" applyFill="1" applyBorder="1" applyProtection="1">
      <protection locked="0"/>
    </xf>
    <xf numFmtId="3" fontId="6" fillId="0" borderId="10" xfId="0" applyNumberFormat="1" applyFont="1" applyFill="1" applyBorder="1" applyAlignment="1" applyProtection="1">
      <alignment horizontal="center"/>
      <protection locked="0"/>
    </xf>
    <xf numFmtId="3" fontId="6" fillId="0" borderId="19" xfId="0" applyNumberFormat="1" applyFont="1" applyFill="1" applyBorder="1" applyProtection="1">
      <protection locked="0"/>
    </xf>
    <xf numFmtId="0" fontId="6" fillId="0" borderId="37" xfId="0" applyFont="1" applyFill="1" applyBorder="1" applyProtection="1">
      <protection locked="0"/>
    </xf>
    <xf numFmtId="0" fontId="6" fillId="0" borderId="14" xfId="0" applyFont="1" applyFill="1" applyBorder="1" applyProtection="1">
      <protection locked="0"/>
    </xf>
    <xf numFmtId="0" fontId="6" fillId="0" borderId="10" xfId="0" applyFont="1" applyFill="1" applyBorder="1" applyProtection="1">
      <protection locked="0"/>
    </xf>
    <xf numFmtId="0" fontId="6" fillId="0" borderId="37" xfId="0" applyFont="1" applyFill="1" applyBorder="1" applyProtection="1">
      <protection hidden="1"/>
    </xf>
    <xf numFmtId="0" fontId="6" fillId="0" borderId="38" xfId="0" applyFont="1" applyFill="1" applyBorder="1" applyProtection="1">
      <protection hidden="1"/>
    </xf>
    <xf numFmtId="0" fontId="6" fillId="0" borderId="14" xfId="0" applyFont="1" applyFill="1" applyBorder="1" applyProtection="1">
      <protection hidden="1"/>
    </xf>
    <xf numFmtId="0" fontId="6" fillId="0" borderId="17" xfId="0" applyFont="1" applyFill="1" applyBorder="1" applyProtection="1">
      <protection hidden="1"/>
    </xf>
    <xf numFmtId="4" fontId="12" fillId="0" borderId="48" xfId="0" applyNumberFormat="1" applyFont="1" applyFill="1" applyBorder="1" applyProtection="1">
      <protection hidden="1"/>
    </xf>
    <xf numFmtId="3" fontId="6" fillId="0" borderId="0" xfId="0" applyNumberFormat="1" applyFont="1" applyFill="1" applyBorder="1" applyAlignment="1" applyProtection="1">
      <alignment horizontal="center"/>
      <protection hidden="1"/>
    </xf>
    <xf numFmtId="3" fontId="6" fillId="0" borderId="19" xfId="0" applyNumberFormat="1" applyFont="1" applyFill="1" applyBorder="1" applyAlignment="1" applyProtection="1">
      <alignment horizontal="center"/>
      <protection hidden="1"/>
    </xf>
    <xf numFmtId="4" fontId="12" fillId="0" borderId="29" xfId="0" applyNumberFormat="1" applyFont="1" applyFill="1" applyBorder="1" applyProtection="1">
      <protection hidden="1"/>
    </xf>
    <xf numFmtId="0" fontId="12" fillId="0" borderId="0" xfId="0" applyFont="1" applyFill="1" applyBorder="1" applyAlignment="1" applyProtection="1">
      <alignment horizontal="center" wrapText="1"/>
      <protection hidden="1"/>
    </xf>
    <xf numFmtId="0" fontId="12" fillId="10" borderId="30" xfId="0" applyFont="1" applyFill="1" applyBorder="1" applyProtection="1">
      <protection hidden="1"/>
    </xf>
    <xf numFmtId="0" fontId="12" fillId="10" borderId="25" xfId="0" applyFont="1" applyFill="1" applyBorder="1" applyProtection="1">
      <protection hidden="1"/>
    </xf>
    <xf numFmtId="0" fontId="6" fillId="0" borderId="44" xfId="0" applyFont="1" applyFill="1" applyBorder="1" applyProtection="1">
      <protection hidden="1"/>
    </xf>
    <xf numFmtId="3" fontId="6" fillId="0" borderId="14" xfId="0" applyNumberFormat="1" applyFont="1" applyFill="1" applyBorder="1" applyProtection="1">
      <protection hidden="1"/>
    </xf>
    <xf numFmtId="0" fontId="20" fillId="0" borderId="0" xfId="0" applyFont="1" applyFill="1" applyBorder="1" applyAlignment="1" applyProtection="1">
      <alignment horizontal="center"/>
      <protection hidden="1"/>
    </xf>
    <xf numFmtId="0" fontId="20" fillId="0" borderId="0" xfId="0" applyFont="1" applyFill="1" applyBorder="1" applyAlignment="1" applyProtection="1">
      <alignment horizontal="left"/>
      <protection hidden="1"/>
    </xf>
    <xf numFmtId="0" fontId="20" fillId="0" borderId="9" xfId="0" applyFont="1" applyFill="1" applyBorder="1" applyAlignment="1" applyProtection="1">
      <alignment horizontal="center"/>
      <protection hidden="1"/>
    </xf>
    <xf numFmtId="3" fontId="6" fillId="0" borderId="0" xfId="0" applyNumberFormat="1" applyFont="1" applyFill="1" applyBorder="1" applyAlignment="1" applyProtection="1">
      <alignment horizontal="left"/>
      <protection hidden="1"/>
    </xf>
    <xf numFmtId="0" fontId="6" fillId="0" borderId="0" xfId="0" applyFont="1" applyBorder="1" applyProtection="1">
      <protection hidden="1"/>
    </xf>
    <xf numFmtId="3" fontId="6" fillId="0" borderId="45" xfId="0" applyNumberFormat="1" applyFont="1" applyFill="1" applyBorder="1" applyAlignment="1" applyProtection="1">
      <alignment horizontal="center"/>
      <protection hidden="1"/>
    </xf>
    <xf numFmtId="3" fontId="5" fillId="0" borderId="0" xfId="0" applyNumberFormat="1" applyFont="1" applyFill="1" applyBorder="1" applyAlignment="1" applyProtection="1">
      <alignment horizontal="left"/>
      <protection hidden="1"/>
    </xf>
    <xf numFmtId="0" fontId="6" fillId="0" borderId="16" xfId="0" applyFont="1" applyBorder="1" applyProtection="1">
      <protection hidden="1"/>
    </xf>
    <xf numFmtId="3" fontId="6" fillId="0" borderId="9" xfId="0" applyNumberFormat="1" applyFont="1" applyFill="1" applyBorder="1" applyAlignment="1" applyProtection="1">
      <alignment horizontal="center"/>
      <protection hidden="1"/>
    </xf>
    <xf numFmtId="3" fontId="29" fillId="0" borderId="0" xfId="0" applyNumberFormat="1" applyFont="1" applyFill="1" applyBorder="1" applyAlignment="1" applyProtection="1">
      <alignment horizontal="center"/>
      <protection hidden="1"/>
    </xf>
    <xf numFmtId="3" fontId="29" fillId="0" borderId="0" xfId="0" applyNumberFormat="1" applyFont="1" applyFill="1" applyBorder="1" applyAlignment="1" applyProtection="1">
      <alignment horizontal="right"/>
      <protection hidden="1"/>
    </xf>
    <xf numFmtId="3" fontId="5" fillId="0" borderId="0" xfId="0" applyNumberFormat="1" applyFont="1" applyFill="1" applyBorder="1" applyAlignment="1" applyProtection="1">
      <alignment horizontal="center"/>
      <protection hidden="1"/>
    </xf>
    <xf numFmtId="3" fontId="5" fillId="0" borderId="19" xfId="0" applyNumberFormat="1" applyFont="1" applyFill="1" applyBorder="1" applyAlignment="1" applyProtection="1">
      <alignment horizontal="center"/>
      <protection hidden="1"/>
    </xf>
    <xf numFmtId="4" fontId="5" fillId="0" borderId="19" xfId="0" applyNumberFormat="1" applyFont="1" applyFill="1" applyBorder="1" applyProtection="1">
      <protection hidden="1"/>
    </xf>
    <xf numFmtId="3" fontId="5" fillId="0" borderId="13" xfId="0" applyNumberFormat="1" applyFont="1" applyFill="1" applyBorder="1" applyAlignment="1" applyProtection="1">
      <alignment horizontal="center"/>
      <protection hidden="1"/>
    </xf>
    <xf numFmtId="3" fontId="5" fillId="0" borderId="88" xfId="0" applyNumberFormat="1" applyFont="1" applyFill="1" applyBorder="1" applyAlignment="1" applyProtection="1">
      <alignment horizontal="center"/>
      <protection hidden="1"/>
    </xf>
    <xf numFmtId="4" fontId="5" fillId="0" borderId="13" xfId="0" applyNumberFormat="1" applyFont="1" applyFill="1" applyBorder="1" applyProtection="1">
      <protection hidden="1"/>
    </xf>
    <xf numFmtId="4" fontId="5" fillId="0" borderId="88" xfId="0" applyNumberFormat="1" applyFont="1" applyFill="1" applyBorder="1" applyProtection="1">
      <protection hidden="1"/>
    </xf>
    <xf numFmtId="4" fontId="12" fillId="0" borderId="87" xfId="0" applyNumberFormat="1" applyFont="1" applyFill="1" applyBorder="1" applyProtection="1">
      <protection hidden="1"/>
    </xf>
    <xf numFmtId="4" fontId="12" fillId="0" borderId="89" xfId="0" applyNumberFormat="1" applyFont="1" applyFill="1" applyBorder="1" applyProtection="1">
      <protection hidden="1"/>
    </xf>
    <xf numFmtId="3" fontId="31" fillId="0" borderId="0" xfId="0" applyNumberFormat="1" applyFont="1" applyFill="1" applyBorder="1" applyAlignment="1" applyProtection="1">
      <alignment horizontal="center"/>
      <protection hidden="1"/>
    </xf>
    <xf numFmtId="4" fontId="31" fillId="0" borderId="0" xfId="0" applyNumberFormat="1" applyFont="1" applyFill="1" applyBorder="1" applyProtection="1">
      <protection hidden="1"/>
    </xf>
    <xf numFmtId="4" fontId="37" fillId="0" borderId="0" xfId="0" applyNumberFormat="1" applyFont="1" applyFill="1" applyBorder="1" applyProtection="1">
      <protection hidden="1"/>
    </xf>
    <xf numFmtId="4" fontId="37" fillId="0" borderId="44" xfId="0" applyNumberFormat="1" applyFont="1" applyFill="1" applyBorder="1" applyProtection="1">
      <protection hidden="1"/>
    </xf>
    <xf numFmtId="164" fontId="6" fillId="0" borderId="0" xfId="0" applyNumberFormat="1" applyFont="1" applyFill="1" applyBorder="1" applyProtection="1">
      <protection hidden="1"/>
    </xf>
    <xf numFmtId="164" fontId="6" fillId="0" borderId="0" xfId="0" applyNumberFormat="1" applyFont="1" applyProtection="1">
      <protection hidden="1"/>
    </xf>
    <xf numFmtId="0" fontId="29" fillId="10" borderId="30" xfId="0" applyFont="1" applyFill="1" applyBorder="1" applyProtection="1">
      <protection hidden="1"/>
    </xf>
    <xf numFmtId="3" fontId="6" fillId="0" borderId="0" xfId="0" applyNumberFormat="1" applyFont="1" applyFill="1" applyBorder="1" applyProtection="1">
      <protection hidden="1"/>
    </xf>
    <xf numFmtId="3" fontId="28" fillId="17" borderId="0" xfId="0" applyNumberFormat="1" applyFont="1" applyFill="1" applyBorder="1" applyAlignment="1" applyProtection="1">
      <alignment horizontal="center"/>
      <protection hidden="1"/>
    </xf>
    <xf numFmtId="3" fontId="28" fillId="17" borderId="19" xfId="0" applyNumberFormat="1" applyFont="1" applyFill="1" applyBorder="1" applyAlignment="1" applyProtection="1">
      <alignment horizontal="center"/>
      <protection hidden="1"/>
    </xf>
    <xf numFmtId="4" fontId="28" fillId="17" borderId="0" xfId="0" applyNumberFormat="1" applyFont="1" applyFill="1" applyBorder="1" applyProtection="1">
      <protection hidden="1"/>
    </xf>
    <xf numFmtId="0" fontId="6" fillId="0" borderId="9" xfId="0" applyFont="1" applyFill="1" applyBorder="1" applyProtection="1">
      <protection locked="0"/>
    </xf>
    <xf numFmtId="3" fontId="83" fillId="0" borderId="9" xfId="0" applyNumberFormat="1" applyFont="1" applyFill="1" applyBorder="1" applyAlignment="1" applyProtection="1">
      <alignment horizontal="left"/>
      <protection locked="0"/>
    </xf>
    <xf numFmtId="3" fontId="6" fillId="0" borderId="45" xfId="0" applyNumberFormat="1" applyFont="1" applyFill="1" applyBorder="1" applyAlignment="1" applyProtection="1">
      <alignment horizontal="center"/>
      <protection locked="0"/>
    </xf>
    <xf numFmtId="3" fontId="84" fillId="0" borderId="9" xfId="0" applyNumberFormat="1" applyFont="1" applyFill="1" applyBorder="1" applyAlignment="1" applyProtection="1">
      <alignment horizontal="left"/>
      <protection locked="0"/>
    </xf>
    <xf numFmtId="3" fontId="81" fillId="0" borderId="9" xfId="0" applyNumberFormat="1" applyFont="1" applyFill="1" applyBorder="1" applyAlignment="1" applyProtection="1">
      <alignment horizontal="left"/>
      <protection locked="0"/>
    </xf>
    <xf numFmtId="3" fontId="6" fillId="0" borderId="9" xfId="0" applyNumberFormat="1" applyFont="1" applyFill="1" applyBorder="1" applyAlignment="1" applyProtection="1">
      <alignment horizontal="left"/>
      <protection locked="0"/>
    </xf>
    <xf numFmtId="3" fontId="5" fillId="0" borderId="9" xfId="0" applyNumberFormat="1" applyFont="1" applyFill="1" applyBorder="1" applyAlignment="1" applyProtection="1">
      <alignment horizontal="left"/>
      <protection locked="0"/>
    </xf>
    <xf numFmtId="3" fontId="5" fillId="0" borderId="9" xfId="0" applyNumberFormat="1" applyFont="1" applyFill="1" applyBorder="1" applyAlignment="1" applyProtection="1">
      <alignment horizontal="center"/>
      <protection locked="0"/>
    </xf>
    <xf numFmtId="3" fontId="12" fillId="0" borderId="9" xfId="0" applyNumberFormat="1" applyFont="1" applyFill="1" applyBorder="1" applyAlignment="1" applyProtection="1">
      <alignment horizontal="left"/>
      <protection locked="0"/>
    </xf>
    <xf numFmtId="3" fontId="31" fillId="0" borderId="9" xfId="0" applyNumberFormat="1" applyFont="1" applyFill="1" applyBorder="1" applyAlignment="1" applyProtection="1">
      <alignment horizontal="center"/>
      <protection locked="0"/>
    </xf>
    <xf numFmtId="3" fontId="5" fillId="0" borderId="19" xfId="0" applyNumberFormat="1" applyFont="1" applyFill="1" applyBorder="1" applyProtection="1">
      <protection locked="0"/>
    </xf>
    <xf numFmtId="3" fontId="12" fillId="0" borderId="88" xfId="0" applyNumberFormat="1" applyFont="1" applyFill="1" applyBorder="1" applyProtection="1">
      <protection locked="0"/>
    </xf>
    <xf numFmtId="3" fontId="31" fillId="0" borderId="0" xfId="0" applyNumberFormat="1" applyFont="1" applyFill="1" applyBorder="1" applyProtection="1">
      <protection locked="0"/>
    </xf>
    <xf numFmtId="0" fontId="29" fillId="0" borderId="9" xfId="0" applyFont="1" applyFill="1" applyBorder="1" applyProtection="1">
      <protection locked="0"/>
    </xf>
    <xf numFmtId="0" fontId="29" fillId="0" borderId="10" xfId="0" applyFont="1" applyFill="1" applyBorder="1" applyProtection="1">
      <protection locked="0"/>
    </xf>
    <xf numFmtId="0" fontId="9" fillId="10" borderId="49" xfId="0" applyFont="1" applyFill="1" applyBorder="1" applyProtection="1">
      <protection hidden="1"/>
    </xf>
    <xf numFmtId="0" fontId="6" fillId="10" borderId="49" xfId="0" applyFont="1" applyFill="1" applyBorder="1" applyProtection="1">
      <protection hidden="1"/>
    </xf>
    <xf numFmtId="0" fontId="5" fillId="10" borderId="49" xfId="0" applyFont="1" applyFill="1" applyBorder="1" applyProtection="1">
      <protection hidden="1"/>
    </xf>
    <xf numFmtId="0" fontId="35" fillId="10" borderId="70" xfId="0" applyFont="1" applyFill="1" applyBorder="1" applyAlignment="1" applyProtection="1">
      <alignment horizontal="right"/>
      <protection hidden="1"/>
    </xf>
    <xf numFmtId="0" fontId="9" fillId="0" borderId="60" xfId="0" applyFont="1" applyFill="1" applyBorder="1" applyProtection="1">
      <protection hidden="1"/>
    </xf>
    <xf numFmtId="0" fontId="5" fillId="0" borderId="60" xfId="0" applyFont="1" applyFill="1" applyBorder="1" applyProtection="1">
      <protection hidden="1"/>
    </xf>
    <xf numFmtId="0" fontId="6" fillId="0" borderId="61" xfId="0" applyFont="1" applyFill="1" applyBorder="1" applyProtection="1">
      <protection hidden="1"/>
    </xf>
    <xf numFmtId="0" fontId="9" fillId="0" borderId="0" xfId="0" applyFont="1" applyFill="1" applyBorder="1" applyProtection="1">
      <protection hidden="1"/>
    </xf>
    <xf numFmtId="4" fontId="5" fillId="0" borderId="45" xfId="0" applyNumberFormat="1" applyFont="1" applyFill="1" applyBorder="1" applyProtection="1">
      <protection hidden="1"/>
    </xf>
    <xf numFmtId="3" fontId="6" fillId="0" borderId="14" xfId="0" applyNumberFormat="1" applyFont="1" applyFill="1" applyBorder="1" applyAlignment="1" applyProtection="1">
      <alignment horizontal="center"/>
      <protection hidden="1"/>
    </xf>
    <xf numFmtId="0" fontId="9" fillId="10" borderId="30" xfId="0" applyFont="1" applyFill="1" applyBorder="1" applyProtection="1">
      <protection hidden="1"/>
    </xf>
    <xf numFmtId="0" fontId="6" fillId="10" borderId="30" xfId="0" applyFont="1" applyFill="1" applyBorder="1" applyProtection="1">
      <protection hidden="1"/>
    </xf>
    <xf numFmtId="0" fontId="5" fillId="10" borderId="30" xfId="0" applyFont="1" applyFill="1" applyBorder="1" applyProtection="1">
      <protection hidden="1"/>
    </xf>
    <xf numFmtId="0" fontId="35" fillId="10" borderId="25" xfId="0" applyFont="1" applyFill="1" applyBorder="1" applyAlignment="1" applyProtection="1">
      <alignment horizontal="right"/>
      <protection hidden="1"/>
    </xf>
    <xf numFmtId="0" fontId="35" fillId="10" borderId="25" xfId="0" applyNumberFormat="1" applyFont="1" applyFill="1" applyBorder="1" applyAlignment="1" applyProtection="1">
      <alignment horizontal="right"/>
      <protection hidden="1"/>
    </xf>
    <xf numFmtId="164" fontId="6" fillId="0" borderId="0" xfId="0" applyNumberFormat="1" applyFont="1" applyFill="1" applyBorder="1" applyAlignment="1" applyProtection="1">
      <alignment horizontal="center"/>
      <protection hidden="1"/>
    </xf>
    <xf numFmtId="0" fontId="28" fillId="0" borderId="60" xfId="0" applyFont="1" applyFill="1" applyBorder="1" applyProtection="1">
      <protection hidden="1"/>
    </xf>
    <xf numFmtId="3" fontId="28" fillId="3" borderId="0" xfId="0" applyNumberFormat="1" applyFont="1" applyFill="1" applyBorder="1" applyProtection="1">
      <protection hidden="1"/>
    </xf>
    <xf numFmtId="0" fontId="9" fillId="3" borderId="0" xfId="0" applyFont="1" applyFill="1" applyBorder="1" applyProtection="1">
      <protection hidden="1"/>
    </xf>
    <xf numFmtId="3" fontId="28" fillId="0" borderId="0" xfId="0" applyNumberFormat="1" applyFont="1" applyFill="1" applyBorder="1" applyAlignment="1" applyProtection="1">
      <alignment horizontal="center"/>
      <protection hidden="1"/>
    </xf>
    <xf numFmtId="3" fontId="29" fillId="0" borderId="0" xfId="0" applyNumberFormat="1" applyFont="1" applyFill="1" applyBorder="1" applyAlignment="1" applyProtection="1">
      <alignment horizontal="left"/>
      <protection hidden="1"/>
    </xf>
    <xf numFmtId="0" fontId="5" fillId="0" borderId="16" xfId="0" applyFont="1" applyFill="1" applyBorder="1" applyProtection="1">
      <protection hidden="1"/>
    </xf>
    <xf numFmtId="3" fontId="5" fillId="0" borderId="14" xfId="0" applyNumberFormat="1" applyFont="1" applyFill="1" applyBorder="1" applyAlignment="1" applyProtection="1">
      <alignment horizontal="center"/>
      <protection hidden="1"/>
    </xf>
    <xf numFmtId="4" fontId="5" fillId="0" borderId="14" xfId="0" applyNumberFormat="1" applyFont="1" applyBorder="1" applyProtection="1">
      <protection hidden="1"/>
    </xf>
    <xf numFmtId="0" fontId="0" fillId="0" borderId="0" xfId="0" applyProtection="1">
      <protection hidden="1"/>
    </xf>
    <xf numFmtId="0" fontId="33" fillId="0" borderId="0" xfId="0" applyFont="1" applyFill="1" applyBorder="1" applyProtection="1">
      <protection hidden="1"/>
    </xf>
    <xf numFmtId="3" fontId="9" fillId="0" borderId="60" xfId="0" applyNumberFormat="1" applyFont="1" applyFill="1" applyBorder="1" applyProtection="1">
      <protection locked="0"/>
    </xf>
    <xf numFmtId="3" fontId="9" fillId="0" borderId="0" xfId="0" applyNumberFormat="1" applyFont="1" applyFill="1" applyBorder="1" applyProtection="1">
      <protection locked="0"/>
    </xf>
    <xf numFmtId="3" fontId="34" fillId="0" borderId="0" xfId="0" applyNumberFormat="1" applyFont="1" applyFill="1" applyBorder="1" applyProtection="1">
      <protection locked="0"/>
    </xf>
    <xf numFmtId="3" fontId="38" fillId="0" borderId="0" xfId="0" applyNumberFormat="1" applyFont="1" applyFill="1" applyBorder="1" applyProtection="1">
      <protection locked="0"/>
    </xf>
    <xf numFmtId="3" fontId="9" fillId="10" borderId="49" xfId="0" applyNumberFormat="1" applyFont="1" applyFill="1" applyBorder="1" applyProtection="1">
      <protection locked="0"/>
    </xf>
    <xf numFmtId="3" fontId="9" fillId="10" borderId="30" xfId="0" applyNumberFormat="1" applyFont="1" applyFill="1" applyBorder="1" applyProtection="1">
      <protection locked="0"/>
    </xf>
    <xf numFmtId="3" fontId="34" fillId="0" borderId="14" xfId="0" applyNumberFormat="1" applyFont="1" applyFill="1" applyBorder="1" applyProtection="1">
      <protection locked="0"/>
    </xf>
    <xf numFmtId="3" fontId="29" fillId="0" borderId="0" xfId="0" applyNumberFormat="1" applyFont="1" applyFill="1" applyBorder="1" applyProtection="1">
      <protection locked="0"/>
    </xf>
    <xf numFmtId="3" fontId="5" fillId="0" borderId="14" xfId="0" applyNumberFormat="1" applyFont="1" applyFill="1" applyBorder="1" applyProtection="1">
      <protection locked="0"/>
    </xf>
    <xf numFmtId="0" fontId="5" fillId="0" borderId="0" xfId="0" applyFont="1" applyFill="1" applyBorder="1" applyProtection="1">
      <protection locked="0"/>
    </xf>
    <xf numFmtId="4" fontId="6" fillId="0" borderId="14" xfId="0" applyNumberFormat="1" applyFont="1" applyFill="1" applyBorder="1" applyProtection="1">
      <protection locked="0"/>
    </xf>
    <xf numFmtId="0" fontId="33" fillId="0" borderId="0" xfId="0" applyFont="1" applyFill="1" applyBorder="1" applyProtection="1">
      <protection locked="0"/>
    </xf>
    <xf numFmtId="0" fontId="10" fillId="0" borderId="63"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182" fontId="12" fillId="10" borderId="24" xfId="0" applyNumberFormat="1" applyFont="1" applyFill="1" applyBorder="1" applyAlignment="1" applyProtection="1">
      <alignment horizontal="left"/>
      <protection locked="0"/>
    </xf>
    <xf numFmtId="182" fontId="12" fillId="15" borderId="24"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left"/>
      <protection locked="0"/>
    </xf>
    <xf numFmtId="0" fontId="5" fillId="0" borderId="9" xfId="0" applyFont="1" applyFill="1" applyBorder="1" applyAlignment="1" applyProtection="1">
      <alignment horizontal="left"/>
      <protection locked="0"/>
    </xf>
    <xf numFmtId="0" fontId="83" fillId="0" borderId="9" xfId="0" applyFont="1" applyFill="1" applyBorder="1" applyAlignment="1" applyProtection="1">
      <alignment horizontal="left"/>
      <protection locked="0"/>
    </xf>
    <xf numFmtId="4" fontId="40" fillId="0" borderId="17" xfId="6" applyNumberFormat="1" applyFont="1" applyBorder="1" applyAlignment="1" applyProtection="1">
      <alignment horizontal="center" vertical="center"/>
      <protection locked="0"/>
    </xf>
    <xf numFmtId="4" fontId="40" fillId="0" borderId="5" xfId="6" applyNumberFormat="1" applyFont="1" applyBorder="1" applyAlignment="1" applyProtection="1">
      <alignment horizontal="center" vertical="center"/>
      <protection locked="0"/>
    </xf>
    <xf numFmtId="9" fontId="40" fillId="0" borderId="5" xfId="6" applyNumberFormat="1" applyFont="1" applyBorder="1" applyAlignment="1" applyProtection="1">
      <alignment horizontal="center" vertical="center"/>
      <protection locked="0"/>
    </xf>
    <xf numFmtId="0" fontId="40" fillId="0" borderId="27" xfId="6" applyFont="1" applyBorder="1" applyAlignment="1" applyProtection="1">
      <alignment horizontal="left" vertical="center"/>
      <protection locked="0"/>
    </xf>
    <xf numFmtId="175" fontId="40" fillId="0" borderId="27" xfId="6" applyNumberFormat="1" applyFont="1" applyFill="1" applyBorder="1" applyAlignment="1" applyProtection="1">
      <alignment horizontal="center" vertical="center"/>
    </xf>
    <xf numFmtId="180" fontId="40" fillId="0" borderId="17" xfId="6" applyNumberFormat="1" applyFont="1" applyBorder="1" applyAlignment="1" applyProtection="1">
      <alignment horizontal="center" vertical="center"/>
      <protection locked="0"/>
    </xf>
    <xf numFmtId="3" fontId="38" fillId="0" borderId="14" xfId="0" applyNumberFormat="1" applyFont="1" applyFill="1" applyBorder="1" applyProtection="1">
      <protection locked="0"/>
    </xf>
    <xf numFmtId="3" fontId="81" fillId="0" borderId="14" xfId="0" applyNumberFormat="1" applyFont="1" applyFill="1" applyBorder="1" applyProtection="1">
      <protection locked="0"/>
    </xf>
    <xf numFmtId="0" fontId="6" fillId="0" borderId="14" xfId="0" applyFont="1" applyBorder="1" applyProtection="1">
      <protection hidden="1"/>
    </xf>
    <xf numFmtId="0" fontId="5" fillId="0" borderId="14" xfId="0" applyFont="1" applyFill="1" applyBorder="1" applyProtection="1">
      <protection hidden="1"/>
    </xf>
    <xf numFmtId="0" fontId="47" fillId="19" borderId="30" xfId="0" applyFont="1" applyFill="1" applyBorder="1" applyAlignment="1">
      <alignment horizontal="right" vertical="center"/>
    </xf>
    <xf numFmtId="0" fontId="12" fillId="0" borderId="0" xfId="0" applyFont="1" applyAlignment="1">
      <alignment horizontal="right"/>
    </xf>
    <xf numFmtId="0" fontId="12" fillId="15" borderId="0" xfId="0" applyFont="1" applyFill="1" applyAlignment="1">
      <alignment horizontal="right"/>
    </xf>
    <xf numFmtId="0" fontId="5" fillId="0" borderId="0" xfId="0" applyFont="1" applyAlignment="1">
      <alignment horizontal="right"/>
    </xf>
    <xf numFmtId="0" fontId="50" fillId="0" borderId="0" xfId="0" applyFont="1"/>
    <xf numFmtId="0" fontId="30" fillId="0" borderId="0" xfId="0" applyFont="1" applyAlignment="1">
      <alignment horizontal="center"/>
    </xf>
    <xf numFmtId="0" fontId="6" fillId="0" borderId="0" xfId="0" applyFont="1" applyFill="1" applyBorder="1" applyAlignment="1">
      <alignment horizontal="center"/>
    </xf>
    <xf numFmtId="0" fontId="12" fillId="0" borderId="0" xfId="0" applyFont="1" applyFill="1" applyBorder="1" applyAlignment="1">
      <alignment horizontal="center"/>
    </xf>
    <xf numFmtId="171" fontId="27" fillId="0" borderId="0" xfId="0" applyNumberFormat="1" applyFont="1" applyFill="1" applyAlignment="1"/>
    <xf numFmtId="171" fontId="6" fillId="0" borderId="0" xfId="0" applyNumberFormat="1" applyFont="1" applyFill="1" applyProtection="1"/>
    <xf numFmtId="0" fontId="30" fillId="0" borderId="0" xfId="0" applyFont="1" applyAlignment="1">
      <alignment horizontal="center"/>
    </xf>
    <xf numFmtId="0" fontId="5" fillId="0" borderId="44" xfId="0" applyFont="1" applyFill="1" applyBorder="1" applyProtection="1">
      <protection hidden="1"/>
    </xf>
    <xf numFmtId="0" fontId="5" fillId="0" borderId="9" xfId="0" applyFont="1" applyFill="1" applyBorder="1" applyProtection="1">
      <protection locked="0"/>
    </xf>
    <xf numFmtId="3" fontId="5" fillId="0" borderId="10" xfId="0" applyNumberFormat="1" applyFont="1" applyFill="1" applyBorder="1" applyAlignment="1" applyProtection="1">
      <alignment horizontal="center"/>
      <protection locked="0"/>
    </xf>
    <xf numFmtId="3" fontId="5" fillId="0" borderId="14" xfId="0" applyNumberFormat="1" applyFont="1" applyFill="1" applyBorder="1" applyAlignment="1">
      <alignment horizontal="center"/>
    </xf>
    <xf numFmtId="3" fontId="5" fillId="0" borderId="14" xfId="0" applyNumberFormat="1" applyFont="1" applyFill="1" applyBorder="1" applyAlignment="1">
      <alignment horizontal="left"/>
    </xf>
    <xf numFmtId="173" fontId="5" fillId="0" borderId="14" xfId="0" applyNumberFormat="1" applyFont="1" applyFill="1" applyBorder="1" applyAlignment="1">
      <alignment horizontal="center"/>
    </xf>
    <xf numFmtId="3" fontId="5" fillId="0" borderId="14" xfId="0" applyNumberFormat="1" applyFont="1" applyFill="1" applyBorder="1" applyProtection="1">
      <protection hidden="1"/>
    </xf>
    <xf numFmtId="3" fontId="28" fillId="0" borderId="0" xfId="0" applyNumberFormat="1" applyFont="1" applyFill="1" applyBorder="1" applyAlignment="1">
      <alignment horizontal="center"/>
    </xf>
    <xf numFmtId="4" fontId="6" fillId="0" borderId="19" xfId="0" applyNumberFormat="1" applyFont="1" applyFill="1" applyBorder="1" applyAlignment="1">
      <alignment horizontal="center"/>
    </xf>
    <xf numFmtId="0" fontId="22" fillId="0" borderId="0" xfId="6" applyFont="1" applyBorder="1" applyAlignment="1" applyProtection="1">
      <alignment horizontal="left" vertical="center"/>
    </xf>
    <xf numFmtId="164" fontId="45" fillId="5" borderId="1" xfId="4" applyNumberFormat="1" applyFont="1" applyFill="1" applyAlignment="1" applyProtection="1">
      <alignment vertical="center"/>
      <protection locked="0"/>
    </xf>
    <xf numFmtId="167" fontId="45" fillId="5" borderId="1" xfId="4" applyNumberFormat="1" applyFont="1" applyFill="1" applyAlignment="1" applyProtection="1">
      <alignment vertical="center"/>
      <protection locked="0"/>
    </xf>
    <xf numFmtId="4" fontId="45" fillId="5" borderId="1" xfId="4" applyNumberFormat="1" applyFont="1" applyFill="1" applyAlignment="1" applyProtection="1">
      <alignment vertical="center"/>
    </xf>
    <xf numFmtId="4" fontId="40" fillId="0" borderId="2" xfId="16" applyNumberFormat="1" applyFont="1" applyBorder="1" applyAlignment="1" applyProtection="1">
      <alignment horizontal="center" vertical="center"/>
      <protection locked="0"/>
    </xf>
    <xf numFmtId="9" fontId="40" fillId="0" borderId="2" xfId="16" applyNumberFormat="1" applyFont="1" applyBorder="1" applyAlignment="1" applyProtection="1">
      <alignment horizontal="center" vertical="center"/>
      <protection locked="0"/>
    </xf>
    <xf numFmtId="3" fontId="5" fillId="0" borderId="9" xfId="0" applyNumberFormat="1" applyFont="1" applyFill="1" applyBorder="1" applyAlignment="1" applyProtection="1">
      <alignment horizontal="center"/>
      <protection hidden="1"/>
    </xf>
    <xf numFmtId="9" fontId="40" fillId="0" borderId="5" xfId="6" applyNumberFormat="1" applyFont="1" applyBorder="1" applyAlignment="1" applyProtection="1">
      <alignment horizontal="center" vertical="center"/>
    </xf>
    <xf numFmtId="173" fontId="5" fillId="0" borderId="0" xfId="0" applyNumberFormat="1" applyFont="1" applyFill="1" applyBorder="1" applyAlignment="1">
      <alignment horizontal="left"/>
    </xf>
    <xf numFmtId="185" fontId="86" fillId="0" borderId="4" xfId="0" applyNumberFormat="1" applyFont="1" applyFill="1" applyBorder="1" applyAlignment="1">
      <alignment horizontal="center"/>
    </xf>
    <xf numFmtId="4" fontId="13" fillId="0" borderId="2" xfId="0" applyNumberFormat="1" applyFont="1" applyFill="1" applyBorder="1" applyAlignment="1">
      <alignment horizontal="center" wrapText="1"/>
    </xf>
    <xf numFmtId="0" fontId="12" fillId="0" borderId="8" xfId="0" applyFont="1" applyFill="1" applyBorder="1" applyAlignment="1">
      <alignment horizontal="center" wrapText="1"/>
    </xf>
    <xf numFmtId="0" fontId="12" fillId="0" borderId="15" xfId="0" applyFont="1" applyFill="1" applyBorder="1" applyAlignment="1">
      <alignment horizontal="center" wrapText="1"/>
    </xf>
    <xf numFmtId="0" fontId="12" fillId="0" borderId="0" xfId="0" applyFont="1" applyFill="1" applyBorder="1" applyAlignment="1">
      <alignment horizontal="center" wrapText="1"/>
    </xf>
    <xf numFmtId="0" fontId="30" fillId="0" borderId="0" xfId="0" applyFont="1" applyAlignment="1">
      <alignment horizontal="center"/>
    </xf>
    <xf numFmtId="164" fontId="6" fillId="0" borderId="0" xfId="0" applyNumberFormat="1" applyFont="1" applyFill="1" applyBorder="1" applyAlignment="1">
      <alignment vertical="center"/>
    </xf>
    <xf numFmtId="0" fontId="12" fillId="10" borderId="24" xfId="0" applyFont="1" applyFill="1" applyBorder="1" applyProtection="1">
      <protection hidden="1"/>
    </xf>
    <xf numFmtId="9" fontId="87" fillId="43" borderId="9" xfId="0" applyNumberFormat="1" applyFont="1" applyFill="1" applyBorder="1" applyProtection="1">
      <protection hidden="1"/>
    </xf>
    <xf numFmtId="4" fontId="6" fillId="0" borderId="10" xfId="0" applyNumberFormat="1" applyFont="1" applyFill="1" applyBorder="1" applyProtection="1">
      <protection hidden="1"/>
    </xf>
    <xf numFmtId="0" fontId="5" fillId="15" borderId="24" xfId="0" applyFont="1" applyFill="1" applyBorder="1" applyAlignment="1" applyProtection="1">
      <alignment vertical="center"/>
      <protection hidden="1"/>
    </xf>
    <xf numFmtId="4" fontId="12" fillId="0" borderId="9" xfId="0" applyNumberFormat="1" applyFont="1" applyFill="1" applyBorder="1" applyProtection="1">
      <protection hidden="1"/>
    </xf>
    <xf numFmtId="4" fontId="5" fillId="0" borderId="9" xfId="0" applyNumberFormat="1" applyFont="1" applyFill="1" applyBorder="1" applyProtection="1">
      <protection hidden="1"/>
    </xf>
    <xf numFmtId="4" fontId="5" fillId="0" borderId="8" xfId="0" applyNumberFormat="1" applyFont="1" applyFill="1" applyBorder="1" applyProtection="1">
      <protection hidden="1"/>
    </xf>
    <xf numFmtId="4" fontId="31" fillId="0" borderId="9" xfId="0" applyNumberFormat="1" applyFont="1" applyFill="1" applyBorder="1" applyProtection="1">
      <protection hidden="1"/>
    </xf>
    <xf numFmtId="0" fontId="5" fillId="0" borderId="9" xfId="0" applyFont="1" applyFill="1" applyBorder="1" applyProtection="1">
      <protection hidden="1"/>
    </xf>
    <xf numFmtId="4" fontId="5" fillId="0" borderId="10" xfId="0" applyNumberFormat="1" applyFont="1" applyFill="1" applyBorder="1" applyProtection="1">
      <protection hidden="1"/>
    </xf>
    <xf numFmtId="0" fontId="12" fillId="0" borderId="10" xfId="0" applyFont="1" applyFill="1" applyBorder="1" applyAlignment="1">
      <alignment horizontal="center" vertical="top" wrapText="1"/>
    </xf>
    <xf numFmtId="0" fontId="12" fillId="10" borderId="24" xfId="0" applyFont="1" applyFill="1" applyBorder="1"/>
    <xf numFmtId="0" fontId="6" fillId="0" borderId="10" xfId="0" applyFont="1" applyFill="1" applyBorder="1" applyProtection="1">
      <protection hidden="1"/>
    </xf>
    <xf numFmtId="9" fontId="87" fillId="43" borderId="10" xfId="0" applyNumberFormat="1" applyFont="1" applyFill="1" applyBorder="1" applyProtection="1">
      <protection hidden="1"/>
    </xf>
    <xf numFmtId="0" fontId="5" fillId="0" borderId="17" xfId="0" applyFont="1" applyFill="1" applyBorder="1" applyProtection="1">
      <protection hidden="1"/>
    </xf>
    <xf numFmtId="0" fontId="6" fillId="45" borderId="0" xfId="0" applyFont="1" applyFill="1" applyBorder="1"/>
    <xf numFmtId="3" fontId="5" fillId="0" borderId="0" xfId="0" applyNumberFormat="1" applyFont="1" applyFill="1" applyBorder="1" applyProtection="1">
      <protection locked="0"/>
    </xf>
    <xf numFmtId="0" fontId="90" fillId="0" borderId="9" xfId="83" applyFont="1" applyBorder="1"/>
    <xf numFmtId="0" fontId="89" fillId="0" borderId="9" xfId="83" applyFont="1" applyBorder="1"/>
    <xf numFmtId="0" fontId="6" fillId="0" borderId="16" xfId="0" applyFont="1" applyBorder="1"/>
    <xf numFmtId="0" fontId="91" fillId="0" borderId="0" xfId="0" applyFont="1"/>
    <xf numFmtId="173" fontId="9" fillId="3" borderId="9" xfId="0" applyNumberFormat="1" applyFont="1" applyFill="1" applyBorder="1" applyAlignment="1">
      <alignment horizontal="left"/>
    </xf>
    <xf numFmtId="0" fontId="9" fillId="0" borderId="9" xfId="0" applyFont="1" applyFill="1" applyBorder="1" applyAlignment="1">
      <alignment horizontal="left"/>
    </xf>
    <xf numFmtId="4" fontId="5" fillId="0" borderId="19" xfId="0" applyNumberFormat="1" applyFont="1" applyFill="1" applyBorder="1" applyAlignment="1"/>
    <xf numFmtId="164" fontId="5" fillId="45" borderId="0" xfId="0" applyNumberFormat="1" applyFont="1" applyFill="1" applyBorder="1" applyAlignment="1">
      <alignment horizontal="right" vertical="center"/>
    </xf>
    <xf numFmtId="3" fontId="88" fillId="46" borderId="0" xfId="0" applyNumberFormat="1" applyFont="1" applyFill="1" applyBorder="1" applyAlignment="1">
      <alignment vertical="center"/>
    </xf>
    <xf numFmtId="0" fontId="6" fillId="13" borderId="9" xfId="0" applyFont="1" applyFill="1" applyBorder="1" applyProtection="1">
      <protection locked="0"/>
    </xf>
    <xf numFmtId="0" fontId="6" fillId="13" borderId="0" xfId="0" applyFont="1" applyFill="1" applyBorder="1"/>
    <xf numFmtId="3" fontId="28" fillId="13" borderId="0" xfId="0" applyNumberFormat="1" applyFont="1" applyFill="1" applyBorder="1" applyAlignment="1">
      <alignment horizontal="left"/>
    </xf>
    <xf numFmtId="173" fontId="6" fillId="13" borderId="0" xfId="0" applyNumberFormat="1" applyFont="1" applyFill="1" applyBorder="1" applyAlignment="1">
      <alignment horizontal="center"/>
    </xf>
    <xf numFmtId="3" fontId="6" fillId="13" borderId="45" xfId="0" applyNumberFormat="1" applyFont="1" applyFill="1" applyBorder="1" applyAlignment="1" applyProtection="1">
      <alignment horizontal="center"/>
      <protection locked="0"/>
    </xf>
    <xf numFmtId="3" fontId="6" fillId="13" borderId="0" xfId="0" applyNumberFormat="1" applyFont="1" applyFill="1" applyBorder="1" applyAlignment="1">
      <alignment horizontal="center"/>
    </xf>
    <xf numFmtId="3" fontId="5" fillId="13" borderId="0" xfId="0" applyNumberFormat="1" applyFont="1" applyFill="1" applyBorder="1" applyAlignment="1">
      <alignment horizontal="left"/>
    </xf>
    <xf numFmtId="3" fontId="6" fillId="13" borderId="10" xfId="0" applyNumberFormat="1" applyFont="1" applyFill="1" applyBorder="1" applyAlignment="1" applyProtection="1">
      <alignment horizontal="center"/>
      <protection locked="0"/>
    </xf>
    <xf numFmtId="3" fontId="6" fillId="13" borderId="14" xfId="0" applyNumberFormat="1" applyFont="1" applyFill="1" applyBorder="1" applyAlignment="1">
      <alignment horizontal="center"/>
    </xf>
    <xf numFmtId="3" fontId="6" fillId="13" borderId="14" xfId="0" applyNumberFormat="1" applyFont="1" applyFill="1" applyBorder="1" applyAlignment="1">
      <alignment horizontal="left"/>
    </xf>
    <xf numFmtId="173" fontId="6" fillId="13" borderId="14" xfId="0" applyNumberFormat="1" applyFont="1" applyFill="1" applyBorder="1" applyAlignment="1">
      <alignment horizontal="center"/>
    </xf>
    <xf numFmtId="0" fontId="28" fillId="13" borderId="0" xfId="0" applyFont="1" applyFill="1" applyAlignment="1">
      <alignment horizontal="center"/>
    </xf>
    <xf numFmtId="173" fontId="28" fillId="13" borderId="0" xfId="0" applyNumberFormat="1" applyFont="1" applyFill="1" applyAlignment="1">
      <alignment horizontal="center"/>
    </xf>
    <xf numFmtId="0" fontId="88" fillId="0" borderId="0" xfId="0" applyFont="1" applyFill="1" applyAlignment="1">
      <alignment vertical="center"/>
    </xf>
    <xf numFmtId="0" fontId="5" fillId="0" borderId="0" xfId="0" applyFont="1" applyFill="1" applyBorder="1" applyAlignment="1">
      <alignment horizontal="center" vertical="center"/>
    </xf>
    <xf numFmtId="175" fontId="40" fillId="0" borderId="27" xfId="6" applyNumberFormat="1" applyFont="1" applyFill="1" applyBorder="1" applyAlignment="1" applyProtection="1">
      <alignment horizontal="center" vertical="center"/>
      <protection locked="0"/>
    </xf>
    <xf numFmtId="0" fontId="5" fillId="0" borderId="63" xfId="0" applyFont="1" applyFill="1" applyBorder="1" applyAlignment="1" applyProtection="1">
      <alignment horizontal="left"/>
      <protection locked="0"/>
    </xf>
    <xf numFmtId="0" fontId="5" fillId="0" borderId="9" xfId="0" applyFont="1" applyBorder="1" applyAlignment="1" applyProtection="1">
      <alignment horizontal="left"/>
      <protection locked="0"/>
    </xf>
    <xf numFmtId="3" fontId="5" fillId="0" borderId="10" xfId="0" applyNumberFormat="1" applyFont="1" applyFill="1" applyBorder="1" applyAlignment="1" applyProtection="1">
      <alignment horizontal="left"/>
      <protection locked="0"/>
    </xf>
    <xf numFmtId="0" fontId="12" fillId="10" borderId="71" xfId="0" applyFont="1" applyFill="1" applyBorder="1" applyAlignment="1" applyProtection="1">
      <alignment horizontal="left"/>
      <protection locked="0"/>
    </xf>
    <xf numFmtId="0" fontId="12" fillId="0" borderId="9" xfId="0" applyFont="1" applyFill="1" applyBorder="1" applyAlignment="1" applyProtection="1">
      <alignment horizontal="left"/>
      <protection locked="0"/>
    </xf>
    <xf numFmtId="0" fontId="5" fillId="3" borderId="9" xfId="0" applyFont="1" applyFill="1" applyBorder="1" applyAlignment="1" applyProtection="1">
      <alignment horizontal="left"/>
      <protection locked="0"/>
    </xf>
    <xf numFmtId="0" fontId="83" fillId="0" borderId="9" xfId="0" applyNumberFormat="1" applyFont="1" applyFill="1" applyBorder="1" applyAlignment="1" applyProtection="1">
      <alignment horizontal="left"/>
      <protection locked="0"/>
    </xf>
    <xf numFmtId="0" fontId="5" fillId="3" borderId="10" xfId="0" applyFont="1" applyFill="1" applyBorder="1" applyAlignment="1" applyProtection="1">
      <alignment horizontal="left"/>
      <protection locked="0"/>
    </xf>
    <xf numFmtId="0" fontId="12" fillId="10" borderId="71" xfId="0" applyNumberFormat="1" applyFont="1" applyFill="1" applyBorder="1" applyAlignment="1" applyProtection="1">
      <alignment horizontal="left"/>
      <protection locked="0"/>
    </xf>
    <xf numFmtId="0" fontId="12" fillId="0" borderId="63" xfId="0" applyFont="1" applyFill="1" applyBorder="1" applyAlignment="1" applyProtection="1">
      <alignment horizontal="left"/>
      <protection locked="0"/>
    </xf>
    <xf numFmtId="0" fontId="5" fillId="0" borderId="60" xfId="0" applyFont="1" applyFill="1" applyBorder="1"/>
    <xf numFmtId="0" fontId="12" fillId="0" borderId="0" xfId="0" applyFont="1" applyFill="1" applyBorder="1" applyAlignment="1" applyProtection="1">
      <alignment horizontal="left"/>
      <protection locked="0"/>
    </xf>
    <xf numFmtId="0" fontId="5" fillId="0" borderId="0" xfId="0" applyFont="1" applyAlignment="1" applyProtection="1">
      <alignment horizontal="left"/>
      <protection locked="0"/>
    </xf>
    <xf numFmtId="0" fontId="5" fillId="0" borderId="0" xfId="0" applyFont="1" applyAlignment="1">
      <alignment horizontal="center"/>
    </xf>
    <xf numFmtId="0" fontId="5" fillId="0" borderId="10" xfId="0" applyFont="1" applyFill="1" applyBorder="1" applyAlignment="1" applyProtection="1">
      <alignment horizontal="left"/>
      <protection locked="0"/>
    </xf>
    <xf numFmtId="0" fontId="5" fillId="0" borderId="14" xfId="0" applyFont="1" applyFill="1" applyBorder="1"/>
    <xf numFmtId="0" fontId="5" fillId="10" borderId="49" xfId="0" applyFont="1" applyFill="1" applyBorder="1"/>
    <xf numFmtId="0" fontId="12" fillId="10" borderId="24" xfId="0" applyFont="1" applyFill="1" applyBorder="1" applyAlignment="1" applyProtection="1">
      <alignment horizontal="left"/>
      <protection locked="0"/>
    </xf>
    <xf numFmtId="0" fontId="12" fillId="10" borderId="24" xfId="0" applyNumberFormat="1" applyFont="1" applyFill="1" applyBorder="1" applyAlignment="1" applyProtection="1">
      <alignment horizontal="left"/>
      <protection locked="0"/>
    </xf>
    <xf numFmtId="0" fontId="5" fillId="0" borderId="9" xfId="0" applyNumberFormat="1" applyFont="1" applyFill="1" applyBorder="1" applyAlignment="1" applyProtection="1">
      <alignment horizontal="left"/>
      <protection locked="0"/>
    </xf>
    <xf numFmtId="0" fontId="5" fillId="10" borderId="30" xfId="0" applyFont="1" applyFill="1" applyBorder="1"/>
    <xf numFmtId="3" fontId="5" fillId="0" borderId="0" xfId="0" applyNumberFormat="1" applyFont="1" applyFill="1" applyBorder="1" applyAlignment="1" applyProtection="1">
      <alignment horizontal="left"/>
      <protection locked="0"/>
    </xf>
    <xf numFmtId="0" fontId="28" fillId="0" borderId="0" xfId="0" applyFont="1" applyFill="1" applyBorder="1" applyProtection="1">
      <protection hidden="1"/>
    </xf>
    <xf numFmtId="3" fontId="12" fillId="0" borderId="0" xfId="0" applyNumberFormat="1" applyFont="1" applyFill="1" applyBorder="1" applyAlignment="1" applyProtection="1">
      <alignment horizontal="right"/>
      <protection locked="0"/>
    </xf>
    <xf numFmtId="2" fontId="54" fillId="0" borderId="0" xfId="15" applyNumberFormat="1" applyFont="1" applyFill="1" applyBorder="1"/>
    <xf numFmtId="2" fontId="55" fillId="0" borderId="0" xfId="15" applyNumberFormat="1" applyFont="1" applyFill="1" applyBorder="1"/>
    <xf numFmtId="186" fontId="88" fillId="44" borderId="0" xfId="0" applyNumberFormat="1" applyFont="1" applyFill="1" applyAlignment="1" applyProtection="1">
      <alignment vertical="center"/>
    </xf>
    <xf numFmtId="186" fontId="88" fillId="44" borderId="0" xfId="0" applyNumberFormat="1" applyFont="1" applyFill="1" applyAlignment="1">
      <alignment vertical="center"/>
    </xf>
    <xf numFmtId="3" fontId="88" fillId="44" borderId="0" xfId="0" applyNumberFormat="1" applyFont="1" applyFill="1" applyBorder="1" applyAlignment="1">
      <alignment vertical="center"/>
    </xf>
    <xf numFmtId="4" fontId="6" fillId="0" borderId="90" xfId="0" applyNumberFormat="1" applyFont="1" applyFill="1" applyBorder="1" applyProtection="1">
      <protection hidden="1"/>
    </xf>
    <xf numFmtId="4" fontId="88" fillId="44" borderId="0" xfId="0" applyNumberFormat="1" applyFont="1" applyFill="1" applyBorder="1" applyAlignment="1">
      <alignment vertical="center"/>
    </xf>
    <xf numFmtId="4" fontId="88" fillId="44" borderId="0" xfId="0" applyNumberFormat="1" applyFont="1" applyFill="1" applyAlignment="1" applyProtection="1">
      <alignment vertical="center"/>
    </xf>
    <xf numFmtId="165" fontId="88" fillId="44" borderId="0" xfId="0" applyNumberFormat="1" applyFont="1" applyFill="1" applyAlignment="1">
      <alignment vertical="center"/>
    </xf>
    <xf numFmtId="4" fontId="88" fillId="44" borderId="0" xfId="6" applyNumberFormat="1" applyFont="1" applyFill="1" applyAlignment="1">
      <alignment vertical="center"/>
    </xf>
    <xf numFmtId="3" fontId="88" fillId="44" borderId="0" xfId="6" applyNumberFormat="1" applyFont="1" applyFill="1" applyAlignment="1">
      <alignment vertical="center"/>
    </xf>
    <xf numFmtId="4" fontId="88" fillId="44" borderId="0" xfId="0" applyNumberFormat="1" applyFont="1" applyFill="1" applyAlignment="1">
      <alignment vertical="center"/>
    </xf>
    <xf numFmtId="173" fontId="88" fillId="44" borderId="0" xfId="6" applyNumberFormat="1" applyFont="1" applyFill="1" applyAlignment="1">
      <alignment horizontal="right" vertical="center"/>
    </xf>
    <xf numFmtId="0" fontId="5" fillId="0" borderId="0" xfId="0" applyFont="1" applyBorder="1" applyAlignment="1">
      <alignment horizontal="left" vertical="center"/>
    </xf>
    <xf numFmtId="169" fontId="88" fillId="44" borderId="0" xfId="0" applyNumberFormat="1" applyFont="1" applyFill="1" applyAlignment="1">
      <alignment vertical="center"/>
    </xf>
    <xf numFmtId="0" fontId="36" fillId="0" borderId="0" xfId="0" applyFont="1" applyFill="1" applyAlignment="1">
      <alignment horizontal="center"/>
    </xf>
    <xf numFmtId="0" fontId="21" fillId="0" borderId="0" xfId="0" applyFont="1" applyFill="1"/>
    <xf numFmtId="3" fontId="6" fillId="45" borderId="0" xfId="0" applyNumberFormat="1" applyFont="1" applyFill="1" applyBorder="1" applyAlignment="1">
      <alignment horizontal="center"/>
    </xf>
    <xf numFmtId="2" fontId="88" fillId="44" borderId="0" xfId="0" applyNumberFormat="1" applyFont="1" applyFill="1" applyBorder="1" applyAlignment="1">
      <alignment vertical="center"/>
    </xf>
    <xf numFmtId="0" fontId="6" fillId="45" borderId="0" xfId="0" applyFont="1" applyFill="1" applyAlignment="1">
      <alignment vertical="center"/>
    </xf>
    <xf numFmtId="0" fontId="6" fillId="45" borderId="0" xfId="0" applyFont="1" applyFill="1" applyBorder="1" applyAlignment="1">
      <alignment vertical="center"/>
    </xf>
    <xf numFmtId="0" fontId="20" fillId="45" borderId="0" xfId="0" applyFont="1" applyFill="1" applyBorder="1" applyAlignment="1">
      <alignment horizontal="left"/>
    </xf>
    <xf numFmtId="0" fontId="6" fillId="45" borderId="0" xfId="0" applyFont="1" applyFill="1" applyBorder="1" applyProtection="1">
      <protection hidden="1"/>
    </xf>
    <xf numFmtId="0" fontId="5" fillId="45" borderId="0" xfId="0" applyFont="1" applyFill="1" applyBorder="1" applyAlignment="1">
      <alignment vertical="center"/>
    </xf>
    <xf numFmtId="0" fontId="6" fillId="45" borderId="0" xfId="0" applyFont="1" applyFill="1" applyAlignment="1" applyProtection="1">
      <alignment vertical="center"/>
    </xf>
    <xf numFmtId="0" fontId="6" fillId="45" borderId="0" xfId="0" quotePrefix="1" applyFont="1" applyFill="1" applyAlignment="1" applyProtection="1">
      <alignment vertical="center"/>
    </xf>
    <xf numFmtId="0" fontId="51" fillId="45" borderId="0" xfId="3" applyFont="1" applyFill="1" applyAlignment="1">
      <alignment vertical="center"/>
    </xf>
    <xf numFmtId="0" fontId="21" fillId="45" borderId="0" xfId="0" applyFont="1" applyFill="1"/>
    <xf numFmtId="0" fontId="9" fillId="45" borderId="9" xfId="0" applyFont="1" applyFill="1" applyBorder="1"/>
    <xf numFmtId="3" fontId="10" fillId="45" borderId="0" xfId="0" applyNumberFormat="1" applyFont="1" applyFill="1" applyBorder="1" applyProtection="1">
      <protection locked="0"/>
    </xf>
    <xf numFmtId="0" fontId="9" fillId="45" borderId="0" xfId="0" applyFont="1" applyFill="1" applyBorder="1"/>
    <xf numFmtId="0" fontId="88" fillId="45" borderId="0" xfId="0" applyFont="1" applyFill="1" applyBorder="1" applyAlignment="1">
      <alignment vertical="center"/>
    </xf>
    <xf numFmtId="0" fontId="88" fillId="45" borderId="0" xfId="0" applyFont="1" applyFill="1" applyAlignment="1">
      <alignment vertical="center"/>
    </xf>
    <xf numFmtId="0" fontId="6" fillId="0" borderId="0" xfId="0" applyFont="1" applyFill="1" applyBorder="1" applyAlignment="1">
      <alignment horizontal="center"/>
    </xf>
    <xf numFmtId="4" fontId="40" fillId="0" borderId="17" xfId="16" applyNumberFormat="1" applyFont="1" applyBorder="1" applyAlignment="1" applyProtection="1">
      <alignment horizontal="center" vertical="center"/>
      <protection locked="0"/>
    </xf>
    <xf numFmtId="4" fontId="40" fillId="0" borderId="5" xfId="16" applyNumberFormat="1" applyFont="1" applyBorder="1" applyAlignment="1" applyProtection="1">
      <alignment horizontal="center" vertical="center"/>
      <protection locked="0"/>
    </xf>
    <xf numFmtId="9" fontId="40" fillId="0" borderId="5" xfId="16" applyNumberFormat="1" applyFont="1" applyBorder="1" applyAlignment="1" applyProtection="1">
      <alignment horizontal="center" vertical="center"/>
      <protection locked="0"/>
    </xf>
    <xf numFmtId="180" fontId="40" fillId="0" borderId="17" xfId="16" applyNumberFormat="1" applyFont="1" applyBorder="1" applyAlignment="1" applyProtection="1">
      <alignment horizontal="center" vertical="center"/>
      <protection locked="0"/>
    </xf>
    <xf numFmtId="183" fontId="21" fillId="0" borderId="0" xfId="6" applyNumberFormat="1" applyFont="1" applyAlignment="1" applyProtection="1">
      <alignment vertical="center"/>
    </xf>
    <xf numFmtId="0" fontId="6" fillId="0" borderId="0" xfId="0" applyFont="1" applyFill="1" applyBorder="1" applyAlignment="1">
      <alignment horizontal="center"/>
    </xf>
    <xf numFmtId="0" fontId="81" fillId="0" borderId="0" xfId="0" applyFont="1" applyAlignment="1">
      <alignment vertical="center"/>
    </xf>
    <xf numFmtId="0" fontId="81" fillId="0" borderId="0" xfId="0" quotePrefix="1" applyFont="1" applyAlignment="1" applyProtection="1">
      <alignment vertical="center"/>
    </xf>
    <xf numFmtId="0" fontId="81" fillId="45" borderId="0" xfId="0" applyFont="1" applyFill="1" applyAlignment="1">
      <alignment vertical="center"/>
    </xf>
    <xf numFmtId="0" fontId="81" fillId="0" borderId="0" xfId="0" applyFont="1" applyAlignment="1" applyProtection="1">
      <alignment vertical="center"/>
    </xf>
    <xf numFmtId="186" fontId="81" fillId="44" borderId="0" xfId="0" applyNumberFormat="1" applyFont="1" applyFill="1" applyAlignment="1">
      <alignment vertical="center"/>
    </xf>
    <xf numFmtId="169" fontId="81" fillId="0" borderId="0" xfId="0" applyNumberFormat="1" applyFont="1" applyAlignment="1">
      <alignment vertical="center"/>
    </xf>
    <xf numFmtId="10" fontId="5" fillId="0" borderId="0" xfId="0" applyNumberFormat="1" applyFont="1" applyFill="1" applyAlignment="1">
      <alignment vertical="center"/>
    </xf>
    <xf numFmtId="14" fontId="5" fillId="0" borderId="0" xfId="0" applyNumberFormat="1" applyFont="1" applyFill="1" applyAlignment="1">
      <alignment horizontal="left" vertical="center"/>
    </xf>
    <xf numFmtId="49" fontId="92" fillId="0" borderId="0" xfId="0" applyNumberFormat="1" applyFont="1"/>
    <xf numFmtId="0" fontId="91" fillId="0" borderId="9" xfId="0" applyFont="1" applyBorder="1"/>
    <xf numFmtId="0" fontId="6" fillId="0" borderId="0" xfId="0" applyFont="1" applyFill="1" applyBorder="1" applyAlignment="1">
      <alignment horizontal="center"/>
    </xf>
    <xf numFmtId="0" fontId="6" fillId="0" borderId="0" xfId="0" applyFont="1" applyFill="1" applyBorder="1" applyAlignment="1">
      <alignment horizontal="center"/>
    </xf>
    <xf numFmtId="186" fontId="93" fillId="0" borderId="0" xfId="0" applyNumberFormat="1" applyFont="1" applyAlignment="1">
      <alignment vertical="center"/>
    </xf>
    <xf numFmtId="0" fontId="6" fillId="0" borderId="13" xfId="0" applyFont="1" applyFill="1" applyBorder="1" applyAlignment="1">
      <alignment horizontal="center"/>
    </xf>
    <xf numFmtId="0" fontId="6" fillId="0" borderId="0" xfId="0" applyFont="1" applyFill="1" applyBorder="1" applyAlignment="1">
      <alignment horizontal="center" vertical="top" wrapText="1"/>
    </xf>
    <xf numFmtId="0" fontId="6" fillId="0" borderId="57" xfId="0"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16" xfId="0" applyFont="1" applyFill="1" applyBorder="1" applyAlignment="1">
      <alignment horizontal="center" vertical="top" wrapText="1"/>
    </xf>
    <xf numFmtId="0" fontId="12" fillId="0" borderId="17" xfId="0" applyFont="1" applyFill="1" applyBorder="1" applyAlignment="1">
      <alignment horizontal="center" vertical="top" wrapText="1"/>
    </xf>
    <xf numFmtId="0" fontId="12" fillId="0" borderId="0" xfId="0" applyFont="1" applyFill="1" applyBorder="1" applyAlignment="1">
      <alignment horizontal="center" vertical="top" wrapText="1"/>
    </xf>
    <xf numFmtId="0" fontId="12" fillId="0" borderId="64" xfId="0" applyFont="1" applyFill="1" applyBorder="1" applyAlignment="1">
      <alignment horizontal="center" vertical="top" wrapText="1"/>
    </xf>
    <xf numFmtId="0" fontId="94" fillId="0" borderId="0" xfId="0" applyFont="1"/>
    <xf numFmtId="0" fontId="94" fillId="0" borderId="0" xfId="0" applyFont="1" applyAlignment="1">
      <alignment vertical="center"/>
    </xf>
    <xf numFmtId="0" fontId="94" fillId="0" borderId="0" xfId="0" applyFont="1" applyFill="1"/>
    <xf numFmtId="0" fontId="94" fillId="0" borderId="0" xfId="0" applyFont="1" applyAlignment="1">
      <alignment horizontal="center"/>
    </xf>
    <xf numFmtId="173" fontId="94" fillId="0" borderId="0" xfId="0" applyNumberFormat="1" applyFont="1" applyAlignment="1">
      <alignment horizontal="center"/>
    </xf>
    <xf numFmtId="173" fontId="94" fillId="0" borderId="0" xfId="0" applyNumberFormat="1" applyFont="1" applyFill="1" applyAlignment="1">
      <alignment horizontal="center"/>
    </xf>
    <xf numFmtId="0" fontId="94" fillId="0" borderId="0" xfId="0" applyFont="1" applyFill="1" applyBorder="1"/>
    <xf numFmtId="0" fontId="6" fillId="0" borderId="0" xfId="0" applyFont="1" applyFill="1" applyBorder="1" applyAlignment="1">
      <alignment horizontal="center"/>
    </xf>
    <xf numFmtId="0" fontId="95" fillId="0" borderId="0" xfId="3" applyFont="1" applyFill="1" applyBorder="1"/>
    <xf numFmtId="0" fontId="95" fillId="0" borderId="0" xfId="3" applyFont="1" applyFill="1" applyBorder="1" applyProtection="1">
      <protection hidden="1"/>
    </xf>
    <xf numFmtId="0" fontId="96" fillId="0" borderId="0" xfId="3" applyFont="1" applyFill="1" applyBorder="1"/>
    <xf numFmtId="0" fontId="22" fillId="0" borderId="2" xfId="6" applyFont="1" applyBorder="1" applyAlignment="1" applyProtection="1">
      <alignment horizontal="center" vertical="center"/>
    </xf>
    <xf numFmtId="0" fontId="21" fillId="9" borderId="25" xfId="6" applyFont="1" applyFill="1" applyBorder="1" applyAlignment="1" applyProtection="1">
      <alignment horizontal="center" vertical="center" wrapText="1"/>
    </xf>
    <xf numFmtId="0" fontId="21" fillId="9" borderId="6" xfId="6" applyFont="1" applyFill="1" applyBorder="1" applyAlignment="1" applyProtection="1">
      <alignment horizontal="center" vertical="center" wrapText="1"/>
    </xf>
    <xf numFmtId="167" fontId="21" fillId="9" borderId="5" xfId="6" applyNumberFormat="1" applyFont="1" applyFill="1" applyBorder="1" applyAlignment="1" applyProtection="1">
      <alignment horizontal="center" vertical="center"/>
    </xf>
    <xf numFmtId="0" fontId="21" fillId="11" borderId="25" xfId="6" applyFont="1" applyFill="1" applyBorder="1" applyAlignment="1" applyProtection="1">
      <alignment horizontal="center" vertical="center" wrapText="1"/>
    </xf>
    <xf numFmtId="167" fontId="21" fillId="11" borderId="17" xfId="6" applyNumberFormat="1" applyFont="1" applyFill="1" applyBorder="1" applyAlignment="1" applyProtection="1">
      <alignment horizontal="center" vertical="center"/>
    </xf>
    <xf numFmtId="0" fontId="21" fillId="11" borderId="22" xfId="6" applyFont="1" applyFill="1" applyBorder="1" applyAlignment="1" applyProtection="1">
      <alignment horizontal="center" vertical="center" wrapText="1"/>
    </xf>
    <xf numFmtId="167" fontId="21" fillId="11" borderId="27" xfId="6" applyNumberFormat="1" applyFont="1" applyFill="1" applyBorder="1" applyAlignment="1" applyProtection="1">
      <alignment horizontal="center" vertical="center"/>
    </xf>
    <xf numFmtId="0" fontId="21" fillId="0" borderId="93" xfId="6" applyFont="1" applyBorder="1" applyAlignment="1" applyProtection="1">
      <alignment horizontal="center" vertical="center"/>
    </xf>
    <xf numFmtId="0" fontId="22" fillId="9" borderId="22" xfId="6" applyFont="1" applyFill="1" applyBorder="1" applyAlignment="1" applyProtection="1">
      <alignment horizontal="center" vertical="center" wrapText="1"/>
    </xf>
    <xf numFmtId="0" fontId="22" fillId="0" borderId="18" xfId="6" applyFont="1" applyBorder="1" applyAlignment="1" applyProtection="1">
      <alignment horizontal="center" vertical="center"/>
    </xf>
    <xf numFmtId="167" fontId="22" fillId="9" borderId="27" xfId="6" applyNumberFormat="1" applyFont="1" applyFill="1" applyBorder="1" applyAlignment="1" applyProtection="1">
      <alignment horizontal="center" vertical="center"/>
    </xf>
    <xf numFmtId="0" fontId="41" fillId="0" borderId="18" xfId="6" applyFont="1" applyBorder="1" applyAlignment="1" applyProtection="1">
      <alignment horizontal="center" vertical="center"/>
    </xf>
    <xf numFmtId="0" fontId="44" fillId="0" borderId="0" xfId="0" applyFont="1"/>
    <xf numFmtId="0" fontId="23" fillId="12" borderId="8" xfId="6" applyFont="1" applyFill="1" applyBorder="1" applyAlignment="1" applyProtection="1">
      <alignment vertical="center"/>
    </xf>
    <xf numFmtId="0" fontId="21" fillId="12" borderId="13" xfId="6" applyFont="1" applyFill="1" applyBorder="1" applyAlignment="1" applyProtection="1">
      <alignment vertical="center"/>
    </xf>
    <xf numFmtId="0" fontId="22" fillId="12" borderId="13" xfId="6" applyFont="1" applyFill="1" applyBorder="1" applyAlignment="1" applyProtection="1">
      <alignment vertical="center"/>
    </xf>
    <xf numFmtId="0" fontId="22" fillId="12" borderId="15" xfId="6" applyFont="1" applyFill="1" applyBorder="1" applyAlignment="1" applyProtection="1">
      <alignment vertical="center"/>
    </xf>
    <xf numFmtId="0" fontId="21" fillId="12" borderId="9" xfId="6" applyFont="1" applyFill="1" applyBorder="1" applyAlignment="1" applyProtection="1">
      <alignment horizontal="left" vertical="center"/>
    </xf>
    <xf numFmtId="0" fontId="21" fillId="12" borderId="0" xfId="6" applyFont="1" applyFill="1" applyBorder="1" applyAlignment="1" applyProtection="1">
      <alignment vertical="center"/>
    </xf>
    <xf numFmtId="0" fontId="22" fillId="12" borderId="0" xfId="6" applyFont="1" applyFill="1" applyBorder="1" applyAlignment="1" applyProtection="1">
      <alignment vertical="center"/>
    </xf>
    <xf numFmtId="0" fontId="22" fillId="12" borderId="16" xfId="6" applyFont="1" applyFill="1" applyBorder="1" applyAlignment="1" applyProtection="1">
      <alignment vertical="center"/>
    </xf>
    <xf numFmtId="0" fontId="21" fillId="12" borderId="10" xfId="6" applyFont="1" applyFill="1" applyBorder="1" applyAlignment="1" applyProtection="1">
      <alignment vertical="center"/>
    </xf>
    <xf numFmtId="0" fontId="21" fillId="12" borderId="14" xfId="6" applyFont="1" applyFill="1" applyBorder="1" applyAlignment="1" applyProtection="1">
      <alignment vertical="center"/>
    </xf>
    <xf numFmtId="0" fontId="22" fillId="12" borderId="14" xfId="6" applyFont="1" applyFill="1" applyBorder="1" applyAlignment="1" applyProtection="1">
      <alignment vertical="center"/>
    </xf>
    <xf numFmtId="0" fontId="21" fillId="12" borderId="14" xfId="6" applyFont="1" applyFill="1" applyBorder="1" applyAlignment="1" applyProtection="1">
      <alignment horizontal="left" vertical="center"/>
    </xf>
    <xf numFmtId="0" fontId="22" fillId="12" borderId="17" xfId="6" applyFont="1" applyFill="1" applyBorder="1" applyAlignment="1" applyProtection="1">
      <alignment vertical="center"/>
    </xf>
    <xf numFmtId="0" fontId="94" fillId="0" borderId="0" xfId="3" applyFont="1" applyFill="1" applyBorder="1" applyProtection="1">
      <protection hidden="1"/>
    </xf>
    <xf numFmtId="183" fontId="5" fillId="0" borderId="0" xfId="0" applyNumberFormat="1" applyFont="1" applyFill="1" applyBorder="1" applyAlignment="1">
      <alignment horizontal="center"/>
    </xf>
    <xf numFmtId="8" fontId="88" fillId="44" borderId="0" xfId="0" applyNumberFormat="1" applyFont="1" applyFill="1" applyBorder="1" applyAlignment="1">
      <alignment horizontal="right" vertical="center"/>
    </xf>
    <xf numFmtId="8" fontId="5" fillId="0" borderId="0" xfId="0" applyNumberFormat="1" applyFont="1" applyFill="1" applyAlignment="1">
      <alignment vertical="center"/>
    </xf>
    <xf numFmtId="49" fontId="52" fillId="0" borderId="0" xfId="0" quotePrefix="1" applyNumberFormat="1" applyFont="1"/>
    <xf numFmtId="0" fontId="12" fillId="0" borderId="71" xfId="0" applyFont="1" applyFill="1" applyBorder="1" applyAlignment="1">
      <alignment horizontal="center" wrapText="1"/>
    </xf>
    <xf numFmtId="183" fontId="5" fillId="0" borderId="13" xfId="0" applyNumberFormat="1" applyFont="1" applyFill="1" applyBorder="1" applyAlignment="1">
      <alignment horizontal="center"/>
    </xf>
    <xf numFmtId="0" fontId="85" fillId="0" borderId="0" xfId="0" applyFont="1" applyAlignment="1">
      <alignment vertical="center" wrapText="1"/>
    </xf>
    <xf numFmtId="0" fontId="85" fillId="0" borderId="0" xfId="0" applyFont="1" applyAlignment="1">
      <alignment vertical="center"/>
    </xf>
    <xf numFmtId="0" fontId="21" fillId="12" borderId="0" xfId="0" applyFont="1" applyFill="1"/>
    <xf numFmtId="3" fontId="5" fillId="0" borderId="9" xfId="0" quotePrefix="1" applyNumberFormat="1" applyFont="1" applyFill="1" applyBorder="1" applyAlignment="1" applyProtection="1">
      <alignment horizontal="left"/>
      <protection locked="0"/>
    </xf>
    <xf numFmtId="8" fontId="6" fillId="0" borderId="0" xfId="0" applyNumberFormat="1" applyFont="1" applyFill="1"/>
    <xf numFmtId="188" fontId="6" fillId="0" borderId="0" xfId="0" applyNumberFormat="1" applyFont="1" applyFill="1"/>
    <xf numFmtId="6" fontId="5" fillId="0" borderId="0" xfId="0" applyNumberFormat="1" applyFont="1" applyFill="1" applyAlignment="1"/>
    <xf numFmtId="8" fontId="6" fillId="0" borderId="0" xfId="0" applyNumberFormat="1" applyFont="1" applyFill="1" applyAlignment="1"/>
    <xf numFmtId="8" fontId="6" fillId="0" borderId="0" xfId="0" applyNumberFormat="1" applyFont="1" applyFill="1" applyBorder="1"/>
    <xf numFmtId="8" fontId="6" fillId="0" borderId="0" xfId="0" applyNumberFormat="1" applyFont="1" applyFill="1" applyBorder="1" applyAlignment="1" applyProtection="1">
      <alignment horizontal="right"/>
      <protection locked="0"/>
    </xf>
    <xf numFmtId="0" fontId="10" fillId="0" borderId="8" xfId="0" applyFont="1" applyFill="1" applyBorder="1"/>
    <xf numFmtId="0" fontId="6" fillId="0" borderId="13" xfId="0" applyFont="1" applyFill="1" applyBorder="1"/>
    <xf numFmtId="3" fontId="10" fillId="0" borderId="13" xfId="0" applyNumberFormat="1" applyFont="1" applyFill="1" applyBorder="1" applyProtection="1">
      <protection locked="0"/>
    </xf>
    <xf numFmtId="0" fontId="9" fillId="0" borderId="13" xfId="0" applyFont="1" applyFill="1" applyBorder="1"/>
    <xf numFmtId="0" fontId="9" fillId="0" borderId="13" xfId="0" applyFont="1" applyFill="1" applyBorder="1" applyProtection="1">
      <protection locked="0"/>
    </xf>
    <xf numFmtId="0" fontId="9" fillId="0" borderId="13" xfId="0" applyFont="1" applyFill="1" applyBorder="1" applyAlignment="1"/>
    <xf numFmtId="0" fontId="6" fillId="0" borderId="13" xfId="0" applyFont="1" applyFill="1" applyBorder="1" applyProtection="1">
      <protection hidden="1"/>
    </xf>
    <xf numFmtId="0" fontId="5" fillId="0" borderId="13" xfId="0" applyFont="1" applyFill="1" applyBorder="1" applyProtection="1">
      <protection hidden="1"/>
    </xf>
    <xf numFmtId="0" fontId="6" fillId="0" borderId="15" xfId="0" applyFont="1" applyFill="1" applyBorder="1" applyProtection="1">
      <protection hidden="1"/>
    </xf>
    <xf numFmtId="0" fontId="6" fillId="0" borderId="8" xfId="0" applyFont="1" applyFill="1" applyBorder="1" applyProtection="1">
      <protection hidden="1"/>
    </xf>
    <xf numFmtId="0" fontId="12" fillId="0" borderId="15" xfId="0" applyFont="1" applyFill="1" applyBorder="1" applyProtection="1">
      <protection hidden="1"/>
    </xf>
    <xf numFmtId="183" fontId="40" fillId="0" borderId="17" xfId="6" applyNumberFormat="1" applyFont="1" applyBorder="1" applyAlignment="1" applyProtection="1">
      <alignment horizontal="center" vertical="center"/>
      <protection locked="0"/>
    </xf>
    <xf numFmtId="183" fontId="40" fillId="0" borderId="12" xfId="16" applyNumberFormat="1" applyFont="1" applyBorder="1" applyAlignment="1" applyProtection="1">
      <alignment horizontal="center" vertical="center"/>
      <protection locked="0"/>
    </xf>
    <xf numFmtId="183" fontId="40" fillId="0" borderId="17" xfId="16" applyNumberFormat="1" applyFont="1" applyBorder="1" applyAlignment="1" applyProtection="1">
      <alignment horizontal="center" vertical="center"/>
      <protection locked="0"/>
    </xf>
    <xf numFmtId="0" fontId="97" fillId="12" borderId="0" xfId="0" applyFont="1" applyFill="1" applyAlignment="1">
      <alignment horizontal="center" vertical="center" wrapText="1"/>
    </xf>
    <xf numFmtId="187" fontId="12" fillId="0" borderId="0" xfId="0" applyNumberFormat="1" applyFont="1" applyAlignment="1">
      <alignment horizontal="left"/>
    </xf>
    <xf numFmtId="0" fontId="12" fillId="0" borderId="8"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6" fillId="0" borderId="9" xfId="0" applyFont="1" applyFill="1" applyBorder="1" applyAlignment="1">
      <alignment horizontal="center" vertical="top" wrapText="1"/>
    </xf>
    <xf numFmtId="0" fontId="6" fillId="0" borderId="66" xfId="0" applyFont="1" applyFill="1" applyBorder="1" applyAlignment="1">
      <alignment horizontal="center" vertical="top" wrapText="1"/>
    </xf>
    <xf numFmtId="0" fontId="6" fillId="0" borderId="0" xfId="0" applyFont="1" applyFill="1" applyBorder="1" applyAlignment="1">
      <alignment horizontal="center" vertical="top" wrapText="1"/>
    </xf>
    <xf numFmtId="0" fontId="6" fillId="0" borderId="57" xfId="0" applyFont="1" applyFill="1" applyBorder="1" applyAlignment="1">
      <alignment horizontal="center" vertical="top" wrapText="1"/>
    </xf>
    <xf numFmtId="0" fontId="6" fillId="0" borderId="16" xfId="0" applyFont="1" applyFill="1" applyBorder="1" applyAlignment="1">
      <alignment horizontal="center" vertical="top" wrapText="1"/>
    </xf>
    <xf numFmtId="0" fontId="6" fillId="0" borderId="64" xfId="0" applyFont="1" applyFill="1" applyBorder="1" applyAlignment="1">
      <alignment horizontal="center" vertical="top" wrapText="1"/>
    </xf>
    <xf numFmtId="0" fontId="12" fillId="0" borderId="0" xfId="0" applyFont="1" applyFill="1" applyBorder="1" applyAlignment="1">
      <alignment horizontal="center"/>
    </xf>
    <xf numFmtId="0" fontId="12" fillId="0" borderId="16" xfId="0" applyFont="1" applyFill="1" applyBorder="1" applyAlignment="1">
      <alignment horizontal="center"/>
    </xf>
    <xf numFmtId="0" fontId="12" fillId="0" borderId="16" xfId="0" applyFont="1" applyFill="1" applyBorder="1" applyAlignment="1">
      <alignment horizontal="center" vertical="top" wrapText="1"/>
    </xf>
    <xf numFmtId="0" fontId="12" fillId="0" borderId="17" xfId="0" applyFont="1" applyFill="1" applyBorder="1" applyAlignment="1">
      <alignment horizontal="center" vertical="top" wrapText="1"/>
    </xf>
    <xf numFmtId="0" fontId="12" fillId="0" borderId="8" xfId="0" applyFont="1" applyFill="1" applyBorder="1" applyAlignment="1">
      <alignment horizontal="center" wrapText="1"/>
    </xf>
    <xf numFmtId="0" fontId="12" fillId="0" borderId="13" xfId="0" applyFont="1" applyFill="1" applyBorder="1" applyAlignment="1">
      <alignment horizontal="center" wrapText="1"/>
    </xf>
    <xf numFmtId="0" fontId="12" fillId="0" borderId="15" xfId="0" applyFont="1" applyFill="1" applyBorder="1" applyAlignment="1">
      <alignment horizontal="center" wrapText="1"/>
    </xf>
    <xf numFmtId="0" fontId="13" fillId="0" borderId="9" xfId="0" applyFont="1" applyFill="1" applyBorder="1" applyAlignment="1">
      <alignment horizontal="center"/>
    </xf>
    <xf numFmtId="0" fontId="6" fillId="0" borderId="0" xfId="0" applyFont="1" applyFill="1" applyBorder="1" applyAlignment="1">
      <alignment horizontal="center"/>
    </xf>
    <xf numFmtId="0" fontId="6" fillId="0" borderId="16" xfId="0" applyFont="1" applyFill="1" applyBorder="1" applyAlignment="1">
      <alignment horizontal="center"/>
    </xf>
    <xf numFmtId="0" fontId="6" fillId="0" borderId="8" xfId="0" applyFont="1" applyFill="1" applyBorder="1" applyAlignment="1">
      <alignment horizontal="center"/>
    </xf>
    <xf numFmtId="0" fontId="6" fillId="0" borderId="13" xfId="0" applyFont="1" applyFill="1" applyBorder="1" applyAlignment="1">
      <alignment horizontal="center"/>
    </xf>
    <xf numFmtId="4" fontId="13" fillId="0" borderId="4" xfId="0" applyNumberFormat="1" applyFont="1" applyFill="1" applyBorder="1" applyAlignment="1">
      <alignment horizontal="center" vertical="top" wrapText="1"/>
    </xf>
    <xf numFmtId="4" fontId="13" fillId="0" borderId="5" xfId="0" applyNumberFormat="1"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9" xfId="0" applyFont="1" applyFill="1" applyBorder="1" applyAlignment="1">
      <alignment horizontal="center" vertical="top" wrapText="1"/>
    </xf>
    <xf numFmtId="182" fontId="5" fillId="0" borderId="16" xfId="0" applyNumberFormat="1" applyFont="1" applyBorder="1" applyAlignment="1">
      <alignment horizontal="center" vertical="center"/>
    </xf>
    <xf numFmtId="0" fontId="12" fillId="14" borderId="2" xfId="0" applyFont="1" applyFill="1" applyBorder="1" applyAlignment="1">
      <alignment horizontal="center"/>
    </xf>
    <xf numFmtId="0" fontId="6" fillId="0" borderId="71" xfId="0" applyFont="1" applyFill="1" applyBorder="1" applyAlignment="1">
      <alignment horizontal="center"/>
    </xf>
    <xf numFmtId="0" fontId="6" fillId="0" borderId="49" xfId="0" applyFont="1" applyFill="1" applyBorder="1" applyAlignment="1">
      <alignment horizontal="center"/>
    </xf>
    <xf numFmtId="0" fontId="6" fillId="0" borderId="66" xfId="0" applyFont="1" applyFill="1" applyBorder="1" applyAlignment="1">
      <alignment horizontal="left" vertical="top" wrapText="1"/>
    </xf>
    <xf numFmtId="0" fontId="6" fillId="0" borderId="57" xfId="0" applyFont="1" applyFill="1" applyBorder="1" applyAlignment="1">
      <alignment horizontal="left" vertical="top" wrapText="1"/>
    </xf>
    <xf numFmtId="0" fontId="12" fillId="0" borderId="71" xfId="0" applyFont="1" applyFill="1" applyBorder="1" applyAlignment="1">
      <alignment horizontal="center"/>
    </xf>
    <xf numFmtId="0" fontId="12" fillId="0" borderId="49" xfId="0" applyFont="1" applyFill="1" applyBorder="1" applyAlignment="1">
      <alignment horizontal="center"/>
    </xf>
    <xf numFmtId="0" fontId="12" fillId="0" borderId="70" xfId="0" applyFont="1" applyFill="1" applyBorder="1" applyAlignment="1">
      <alignment horizontal="center"/>
    </xf>
    <xf numFmtId="0" fontId="12" fillId="0" borderId="92" xfId="0" applyFont="1" applyFill="1" applyBorder="1" applyAlignment="1">
      <alignment horizontal="center" wrapText="1"/>
    </xf>
    <xf numFmtId="0" fontId="12" fillId="0" borderId="91" xfId="0" applyFont="1" applyFill="1" applyBorder="1" applyAlignment="1">
      <alignment horizontal="center" wrapText="1"/>
    </xf>
    <xf numFmtId="0" fontId="12" fillId="0" borderId="71" xfId="0" applyFont="1" applyFill="1" applyBorder="1" applyAlignment="1">
      <alignment horizontal="center" wrapText="1"/>
    </xf>
    <xf numFmtId="0" fontId="12" fillId="0" borderId="49" xfId="0" applyFont="1" applyFill="1" applyBorder="1" applyAlignment="1">
      <alignment horizontal="center" wrapText="1"/>
    </xf>
    <xf numFmtId="0" fontId="12" fillId="0" borderId="70" xfId="0" applyFont="1" applyFill="1" applyBorder="1" applyAlignment="1">
      <alignment horizontal="center" wrapText="1"/>
    </xf>
    <xf numFmtId="0" fontId="30" fillId="14" borderId="2" xfId="0" applyFont="1" applyFill="1" applyBorder="1" applyAlignment="1">
      <alignment horizontal="center" vertical="top" wrapText="1"/>
    </xf>
    <xf numFmtId="4" fontId="30" fillId="14" borderId="2" xfId="0" applyNumberFormat="1" applyFont="1" applyFill="1" applyBorder="1" applyAlignment="1">
      <alignment horizontal="center" vertical="top" wrapText="1"/>
    </xf>
    <xf numFmtId="0" fontId="12" fillId="0" borderId="71"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70" xfId="0" applyFont="1" applyFill="1" applyBorder="1" applyAlignment="1">
      <alignment horizontal="center" vertical="center" wrapText="1"/>
    </xf>
    <xf numFmtId="0" fontId="6" fillId="0" borderId="9" xfId="0" applyFont="1" applyFill="1" applyBorder="1" applyAlignment="1">
      <alignment horizontal="center"/>
    </xf>
    <xf numFmtId="0" fontId="12" fillId="0" borderId="71" xfId="0" applyFont="1" applyFill="1" applyBorder="1" applyAlignment="1">
      <alignment horizontal="center" vertical="center"/>
    </xf>
    <xf numFmtId="0" fontId="12" fillId="0" borderId="49" xfId="0" applyFont="1" applyFill="1" applyBorder="1" applyAlignment="1">
      <alignment horizontal="center" vertical="center"/>
    </xf>
    <xf numFmtId="0" fontId="12" fillId="0" borderId="70" xfId="0" applyFont="1" applyFill="1" applyBorder="1" applyAlignment="1">
      <alignment horizontal="center" vertical="center"/>
    </xf>
    <xf numFmtId="0" fontId="12" fillId="0" borderId="9"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6" fillId="0" borderId="0" xfId="0" applyFont="1" applyBorder="1" applyAlignment="1">
      <alignment horizontal="center" vertical="top" wrapText="1"/>
    </xf>
    <xf numFmtId="0" fontId="6" fillId="0" borderId="14" xfId="0" applyFont="1" applyBorder="1" applyAlignment="1">
      <alignment horizontal="center" vertical="top" wrapText="1"/>
    </xf>
    <xf numFmtId="0" fontId="12" fillId="0" borderId="16" xfId="0" applyFont="1" applyBorder="1" applyAlignment="1">
      <alignment horizontal="center" vertical="top" wrapText="1"/>
    </xf>
    <xf numFmtId="0" fontId="12" fillId="0" borderId="17" xfId="0" applyFont="1" applyBorder="1" applyAlignment="1">
      <alignment horizontal="center" vertical="top" wrapText="1"/>
    </xf>
    <xf numFmtId="0" fontId="6" fillId="0" borderId="10" xfId="0" applyFont="1" applyFill="1" applyBorder="1" applyAlignment="1">
      <alignment horizontal="center" vertical="top" wrapText="1"/>
    </xf>
    <xf numFmtId="0" fontId="6" fillId="0" borderId="14" xfId="0" applyFont="1" applyFill="1" applyBorder="1" applyAlignment="1">
      <alignment horizontal="center" vertical="top" wrapText="1"/>
    </xf>
    <xf numFmtId="0" fontId="5" fillId="0" borderId="75"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76" xfId="0" applyFont="1" applyFill="1" applyBorder="1" applyAlignment="1">
      <alignment horizontal="center" vertical="top" wrapText="1"/>
    </xf>
    <xf numFmtId="0" fontId="5" fillId="0" borderId="57" xfId="0" applyFont="1" applyFill="1" applyBorder="1" applyAlignment="1">
      <alignment horizontal="center" vertical="top" wrapText="1"/>
    </xf>
    <xf numFmtId="0" fontId="12" fillId="0" borderId="64" xfId="0" applyFont="1" applyFill="1" applyBorder="1" applyAlignment="1">
      <alignment horizontal="center" vertical="top" wrapText="1"/>
    </xf>
    <xf numFmtId="0" fontId="6" fillId="0" borderId="9" xfId="0" applyFont="1" applyFill="1" applyBorder="1" applyAlignment="1">
      <alignment horizontal="center" vertical="center" wrapText="1"/>
    </xf>
    <xf numFmtId="0" fontId="6" fillId="0" borderId="66" xfId="0" applyFont="1" applyFill="1" applyBorder="1" applyAlignment="1">
      <alignment horizontal="center" vertical="center" wrapText="1"/>
    </xf>
    <xf numFmtId="0" fontId="6" fillId="0" borderId="49" xfId="0" applyFont="1" applyFill="1" applyBorder="1" applyAlignment="1" applyProtection="1">
      <alignment horizontal="center" wrapText="1"/>
      <protection locked="0"/>
    </xf>
    <xf numFmtId="0" fontId="6" fillId="0" borderId="0" xfId="0" applyFont="1" applyFill="1" applyBorder="1" applyAlignment="1" applyProtection="1">
      <alignment horizontal="center" wrapText="1"/>
      <protection locked="0"/>
    </xf>
    <xf numFmtId="0" fontId="6" fillId="0" borderId="57" xfId="0" applyFont="1" applyFill="1" applyBorder="1" applyAlignment="1" applyProtection="1">
      <alignment horizontal="center" wrapText="1"/>
      <protection locked="0"/>
    </xf>
    <xf numFmtId="0" fontId="5" fillId="0" borderId="9" xfId="0" applyFont="1" applyFill="1" applyBorder="1" applyAlignment="1">
      <alignment horizontal="center" vertical="top" wrapText="1"/>
    </xf>
    <xf numFmtId="0" fontId="22" fillId="0" borderId="42" xfId="6" applyFont="1" applyBorder="1" applyAlignment="1" applyProtection="1">
      <alignment horizontal="center" vertical="center"/>
    </xf>
    <xf numFmtId="0" fontId="22" fillId="0" borderId="40" xfId="6" applyFont="1" applyBorder="1" applyAlignment="1" applyProtection="1">
      <alignment horizontal="center" vertical="center"/>
    </xf>
    <xf numFmtId="0" fontId="22" fillId="0" borderId="2" xfId="6" applyFont="1" applyBorder="1" applyAlignment="1" applyProtection="1">
      <alignment horizontal="center" vertical="center"/>
    </xf>
    <xf numFmtId="0" fontId="22" fillId="0" borderId="34" xfId="6" applyFont="1" applyBorder="1" applyAlignment="1" applyProtection="1">
      <alignment horizontal="center" vertical="center"/>
    </xf>
    <xf numFmtId="0" fontId="22" fillId="0" borderId="43" xfId="6" applyFont="1" applyBorder="1" applyAlignment="1" applyProtection="1">
      <alignment horizontal="center" vertical="center"/>
    </xf>
    <xf numFmtId="0" fontId="22" fillId="0" borderId="41" xfId="6" applyFont="1" applyBorder="1" applyAlignment="1" applyProtection="1">
      <alignment horizontal="center" vertical="center"/>
    </xf>
    <xf numFmtId="181" fontId="59" fillId="8" borderId="2" xfId="6" applyNumberFormat="1" applyFont="1" applyFill="1" applyBorder="1" applyAlignment="1" applyProtection="1">
      <alignment horizontal="left" vertical="center"/>
    </xf>
    <xf numFmtId="0" fontId="58" fillId="8" borderId="24" xfId="6" applyFont="1" applyFill="1" applyBorder="1" applyAlignment="1" applyProtection="1">
      <alignment horizontal="left" vertical="center" wrapText="1"/>
    </xf>
    <xf numFmtId="0" fontId="58" fillId="8" borderId="30" xfId="6" applyFont="1" applyFill="1" applyBorder="1" applyAlignment="1" applyProtection="1">
      <alignment horizontal="left" vertical="center" wrapText="1"/>
    </xf>
    <xf numFmtId="0" fontId="58" fillId="8" borderId="25" xfId="6" applyFont="1" applyFill="1" applyBorder="1" applyAlignment="1" applyProtection="1">
      <alignment horizontal="left" vertical="center" wrapText="1"/>
    </xf>
    <xf numFmtId="181" fontId="59" fillId="8" borderId="5" xfId="6" applyNumberFormat="1" applyFont="1" applyFill="1" applyBorder="1" applyAlignment="1" applyProtection="1">
      <alignment horizontal="left" vertical="center"/>
    </xf>
  </cellXfs>
  <cellStyles count="87">
    <cellStyle name="20% - Accent1 2" xfId="18"/>
    <cellStyle name="20% - Accent2 2" xfId="19"/>
    <cellStyle name="20% - Accent3 2" xfId="20"/>
    <cellStyle name="20% - Accent4 2" xfId="21"/>
    <cellStyle name="20% - Accent5 2" xfId="22"/>
    <cellStyle name="20% - Accent6 2" xfId="23"/>
    <cellStyle name="40% - Accent1 2" xfId="24"/>
    <cellStyle name="40% - Accent2 2" xfId="25"/>
    <cellStyle name="40% - Accent3 2" xfId="26"/>
    <cellStyle name="40% - Accent4 2" xfId="27"/>
    <cellStyle name="40% - Accent5 2" xfId="28"/>
    <cellStyle name="40% - Accent6 2" xfId="29"/>
    <cellStyle name="60% - Accent1 2" xfId="30"/>
    <cellStyle name="60% - Accent2 2" xfId="31"/>
    <cellStyle name="60% - Accent3 2" xfId="32"/>
    <cellStyle name="60% - Accent4 2" xfId="33"/>
    <cellStyle name="60% - Accent5 2" xfId="34"/>
    <cellStyle name="60% - Accent6 2" xfId="35"/>
    <cellStyle name="Accent1 2" xfId="36"/>
    <cellStyle name="Accent2 2" xfId="37"/>
    <cellStyle name="Accent3 2" xfId="38"/>
    <cellStyle name="Accent4 2" xfId="39"/>
    <cellStyle name="Accent5 2" xfId="40"/>
    <cellStyle name="Accent6 2" xfId="41"/>
    <cellStyle name="Bad 2" xfId="42"/>
    <cellStyle name="Calculation 2" xfId="43"/>
    <cellStyle name="Check Cell 2" xfId="44"/>
    <cellStyle name="Comma 2" xfId="45"/>
    <cellStyle name="Comma 3" xfId="46"/>
    <cellStyle name="Comma 4" xfId="84"/>
    <cellStyle name="Explanatory Text 2" xfId="47"/>
    <cellStyle name="Good 2" xfId="48"/>
    <cellStyle name="HEAD-1" xfId="1"/>
    <cellStyle name="Head-2" xfId="2"/>
    <cellStyle name="Heading 1 2" xfId="49"/>
    <cellStyle name="Heading 2 2" xfId="50"/>
    <cellStyle name="Heading 3 2" xfId="51"/>
    <cellStyle name="Heading 4 2" xfId="52"/>
    <cellStyle name="Hyperlink" xfId="3" builtinId="8"/>
    <cellStyle name="Hyperlink 2" xfId="53"/>
    <cellStyle name="Hyperlink 3" xfId="54"/>
    <cellStyle name="Hyperlink 4" xfId="55"/>
    <cellStyle name="Input 2" xfId="4"/>
    <cellStyle name="Input Cell" xfId="5"/>
    <cellStyle name="Linked Cell 2" xfId="56"/>
    <cellStyle name="Neutral 2" xfId="57"/>
    <cellStyle name="Normal" xfId="0" builtinId="0"/>
    <cellStyle name="Normal 10" xfId="58"/>
    <cellStyle name="Normal 11" xfId="59"/>
    <cellStyle name="Normal 12" xfId="81"/>
    <cellStyle name="Normal 13" xfId="82"/>
    <cellStyle name="Normal 14" xfId="83"/>
    <cellStyle name="Normal 16" xfId="86"/>
    <cellStyle name="Normal 2" xfId="6"/>
    <cellStyle name="Normal 2 2" xfId="16"/>
    <cellStyle name="Normal 2 2 2" xfId="60"/>
    <cellStyle name="Normal 2 2 3" xfId="61"/>
    <cellStyle name="Normal 2 3" xfId="17"/>
    <cellStyle name="Normal 2 4" xfId="62"/>
    <cellStyle name="Normal 2 5" xfId="63"/>
    <cellStyle name="Normal 3" xfId="15"/>
    <cellStyle name="Normal 4" xfId="64"/>
    <cellStyle name="Normal 5" xfId="65"/>
    <cellStyle name="Normal 5 2" xfId="66"/>
    <cellStyle name="Normal 6" xfId="67"/>
    <cellStyle name="Normal 7" xfId="68"/>
    <cellStyle name="Normal 7 2" xfId="69"/>
    <cellStyle name="Normal 8" xfId="70"/>
    <cellStyle name="Normal 8 2" xfId="71"/>
    <cellStyle name="Normal 9" xfId="72"/>
    <cellStyle name="Normal 9 2" xfId="73"/>
    <cellStyle name="Note 2" xfId="74"/>
    <cellStyle name="Output 2" xfId="75"/>
    <cellStyle name="Percent 2" xfId="76"/>
    <cellStyle name="Percent 3" xfId="77"/>
    <cellStyle name="Percent 4" xfId="85"/>
    <cellStyle name="StyleName1" xfId="7"/>
    <cellStyle name="StyleName2" xfId="8"/>
    <cellStyle name="StyleName3" xfId="9"/>
    <cellStyle name="StyleName4" xfId="10"/>
    <cellStyle name="StyleName5" xfId="11"/>
    <cellStyle name="StyleName6" xfId="12"/>
    <cellStyle name="StyleName7" xfId="13"/>
    <cellStyle name="StyleName8" xfId="14"/>
    <cellStyle name="Title 2" xfId="78"/>
    <cellStyle name="Total 2" xfId="79"/>
    <cellStyle name="Warning Text 2" xfId="80"/>
  </cellStyles>
  <dxfs count="0"/>
  <tableStyles count="0" defaultTableStyle="TableStyleMedium9" defaultPivotStyle="PivotStyleLight16"/>
  <colors>
    <mruColors>
      <color rgb="FF0000FF"/>
      <color rgb="FFFFFF99"/>
      <color rgb="FFB5D334"/>
      <color rgb="FFCCFF9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13</xdr:col>
      <xdr:colOff>201706</xdr:colOff>
      <xdr:row>2</xdr:row>
      <xdr:rowOff>50984</xdr:rowOff>
    </xdr:from>
    <xdr:to>
      <xdr:col>16</xdr:col>
      <xdr:colOff>515471</xdr:colOff>
      <xdr:row>25</xdr:row>
      <xdr:rowOff>147671</xdr:rowOff>
    </xdr:to>
    <xdr:pic>
      <xdr:nvPicPr>
        <xdr:cNvPr id="5" name="Picture 4"/>
        <xdr:cNvPicPr>
          <a:picLocks noChangeAspect="1"/>
        </xdr:cNvPicPr>
      </xdr:nvPicPr>
      <xdr:blipFill rotWithShape="1">
        <a:blip xmlns:r="http://schemas.openxmlformats.org/officeDocument/2006/relationships" r:embed="rId1"/>
        <a:srcRect l="12674" r="20751"/>
        <a:stretch/>
      </xdr:blipFill>
      <xdr:spPr>
        <a:xfrm>
          <a:off x="7115735" y="1238808"/>
          <a:ext cx="2498912" cy="4702304"/>
        </a:xfrm>
        <a:prstGeom prst="rect">
          <a:avLst/>
        </a:prstGeom>
      </xdr:spPr>
    </xdr:pic>
    <xdr:clientData/>
  </xdr:twoCellAnchor>
  <xdr:twoCellAnchor>
    <xdr:from>
      <xdr:col>4</xdr:col>
      <xdr:colOff>258203</xdr:colOff>
      <xdr:row>28</xdr:row>
      <xdr:rowOff>40622</xdr:rowOff>
    </xdr:from>
    <xdr:to>
      <xdr:col>4</xdr:col>
      <xdr:colOff>258203</xdr:colOff>
      <xdr:row>33</xdr:row>
      <xdr:rowOff>107184</xdr:rowOff>
    </xdr:to>
    <xdr:cxnSp macro="">
      <xdr:nvCxnSpPr>
        <xdr:cNvPr id="3" name="Straight Connector 2"/>
        <xdr:cNvCxnSpPr/>
      </xdr:nvCxnSpPr>
      <xdr:spPr>
        <a:xfrm>
          <a:off x="1950291" y="6349534"/>
          <a:ext cx="0" cy="850974"/>
        </a:xfrm>
        <a:prstGeom prst="line">
          <a:avLst/>
        </a:prstGeom>
        <a:ln w="12700">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8</xdr:col>
      <xdr:colOff>157356</xdr:colOff>
      <xdr:row>27</xdr:row>
      <xdr:rowOff>148827</xdr:rowOff>
    </xdr:from>
    <xdr:to>
      <xdr:col>10</xdr:col>
      <xdr:colOff>311376</xdr:colOff>
      <xdr:row>32</xdr:row>
      <xdr:rowOff>136078</xdr:rowOff>
    </xdr:to>
    <xdr:pic>
      <xdr:nvPicPr>
        <xdr:cNvPr id="511002" name="Picture 4" descr="ssk"/>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6887" y="6173390"/>
          <a:ext cx="1237489" cy="790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67241</xdr:colOff>
      <xdr:row>28</xdr:row>
      <xdr:rowOff>40622</xdr:rowOff>
    </xdr:from>
    <xdr:to>
      <xdr:col>8</xdr:col>
      <xdr:colOff>67241</xdr:colOff>
      <xdr:row>33</xdr:row>
      <xdr:rowOff>107184</xdr:rowOff>
    </xdr:to>
    <xdr:cxnSp macro="">
      <xdr:nvCxnSpPr>
        <xdr:cNvPr id="6" name="Straight Connector 5"/>
        <xdr:cNvCxnSpPr/>
      </xdr:nvCxnSpPr>
      <xdr:spPr>
        <a:xfrm>
          <a:off x="3910859" y="6349534"/>
          <a:ext cx="0" cy="850974"/>
        </a:xfrm>
        <a:prstGeom prst="line">
          <a:avLst/>
        </a:prstGeom>
        <a:ln w="12700">
          <a:solidFill>
            <a:schemeClr val="tx1">
              <a:lumMod val="65000"/>
              <a:lumOff val="3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695730</xdr:colOff>
      <xdr:row>0</xdr:row>
      <xdr:rowOff>101421</xdr:rowOff>
    </xdr:from>
    <xdr:to>
      <xdr:col>16</xdr:col>
      <xdr:colOff>542926</xdr:colOff>
      <xdr:row>1</xdr:row>
      <xdr:rowOff>66675</xdr:rowOff>
    </xdr:to>
    <xdr:grpSp>
      <xdr:nvGrpSpPr>
        <xdr:cNvPr id="4" name="Group 3"/>
        <xdr:cNvGrpSpPr/>
      </xdr:nvGrpSpPr>
      <xdr:grpSpPr>
        <a:xfrm rot="5400000">
          <a:off x="8262304" y="-551124"/>
          <a:ext cx="727254" cy="2032343"/>
          <a:chOff x="11176845" y="2135864"/>
          <a:chExt cx="504562" cy="2074184"/>
        </a:xfrm>
      </xdr:grpSpPr>
      <xdr:sp macro="" textlink="">
        <xdr:nvSpPr>
          <xdr:cNvPr id="2" name="TextBox 1"/>
          <xdr:cNvSpPr txBox="1"/>
        </xdr:nvSpPr>
        <xdr:spPr>
          <a:xfrm rot="16200000">
            <a:off x="10715884" y="2596986"/>
            <a:ext cx="1426485" cy="504241"/>
          </a:xfrm>
          <a:prstGeom prst="rect">
            <a:avLst/>
          </a:prstGeom>
          <a:solidFill>
            <a:schemeClr val="tx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af-ZA" sz="1400" b="1">
                <a:latin typeface="Arial Narrow" panose="020B0606020202030204" pitchFamily="34" charset="0"/>
              </a:rPr>
              <a:t>ELEKTRONIESE</a:t>
            </a:r>
            <a:r>
              <a:rPr lang="af-ZA" sz="1400" b="1" baseline="0">
                <a:latin typeface="Arial Narrow" panose="020B0606020202030204" pitchFamily="34" charset="0"/>
              </a:rPr>
              <a:t> </a:t>
            </a:r>
          </a:p>
          <a:p>
            <a:pPr algn="ctr"/>
            <a:r>
              <a:rPr lang="af-ZA" sz="1400" b="1" baseline="0">
                <a:latin typeface="Arial Narrow" panose="020B0606020202030204" pitchFamily="34" charset="0"/>
              </a:rPr>
              <a:t>WEERGAWE</a:t>
            </a:r>
            <a:endParaRPr lang="af-ZA" sz="1400" b="1">
              <a:latin typeface="Arial Narrow" panose="020B0606020202030204" pitchFamily="34" charset="0"/>
            </a:endParaRPr>
          </a:p>
        </xdr:txBody>
      </xdr:sp>
      <xdr:sp macro="" textlink="">
        <xdr:nvSpPr>
          <xdr:cNvPr id="14" name="TextBox 13"/>
          <xdr:cNvSpPr txBox="1"/>
        </xdr:nvSpPr>
        <xdr:spPr>
          <a:xfrm rot="16200000">
            <a:off x="11149328" y="3677970"/>
            <a:ext cx="559595" cy="504562"/>
          </a:xfrm>
          <a:prstGeom prst="rect">
            <a:avLst/>
          </a:prstGeom>
          <a:solidFill>
            <a:schemeClr val="tx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af-ZA" sz="2800" b="0">
                <a:latin typeface="Arial Narrow" panose="020B0606020202030204" pitchFamily="34" charset="0"/>
                <a:sym typeface="Wingdings"/>
              </a:rPr>
              <a:t></a:t>
            </a:r>
            <a:endParaRPr lang="af-ZA" sz="2800" b="0">
              <a:latin typeface="Arial Narrow" panose="020B0606020202030204" pitchFamily="34" charset="0"/>
            </a:endParaRPr>
          </a:p>
        </xdr:txBody>
      </xdr:sp>
    </xdr:grpSp>
    <xdr:clientData/>
  </xdr:twoCellAnchor>
  <xdr:twoCellAnchor>
    <xdr:from>
      <xdr:col>14</xdr:col>
      <xdr:colOff>607219</xdr:colOff>
      <xdr:row>1</xdr:row>
      <xdr:rowOff>119063</xdr:rowOff>
    </xdr:from>
    <xdr:to>
      <xdr:col>16</xdr:col>
      <xdr:colOff>548031</xdr:colOff>
      <xdr:row>1</xdr:row>
      <xdr:rowOff>416719</xdr:rowOff>
    </xdr:to>
    <xdr:sp macro="" textlink="">
      <xdr:nvSpPr>
        <xdr:cNvPr id="15" name="TextBox 14"/>
        <xdr:cNvSpPr txBox="1"/>
      </xdr:nvSpPr>
      <xdr:spPr>
        <a:xfrm>
          <a:off x="10120313" y="1047751"/>
          <a:ext cx="1393374" cy="297656"/>
        </a:xfrm>
        <a:prstGeom prst="rect">
          <a:avLst/>
        </a:prstGeom>
        <a:solidFill>
          <a:schemeClr val="tx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af-ZA" sz="1400" b="1">
              <a:latin typeface="Arial Narrow" panose="020B0606020202030204" pitchFamily="34" charset="0"/>
            </a:rPr>
            <a:t>PRODUSENT</a:t>
          </a:r>
        </a:p>
      </xdr:txBody>
    </xdr:sp>
    <xdr:clientData/>
  </xdr:twoCellAnchor>
  <xdr:twoCellAnchor>
    <xdr:from>
      <xdr:col>1</xdr:col>
      <xdr:colOff>56031</xdr:colOff>
      <xdr:row>29</xdr:row>
      <xdr:rowOff>44395</xdr:rowOff>
    </xdr:from>
    <xdr:to>
      <xdr:col>4</xdr:col>
      <xdr:colOff>168088</xdr:colOff>
      <xdr:row>32</xdr:row>
      <xdr:rowOff>103410</xdr:rowOff>
    </xdr:to>
    <xdr:pic>
      <xdr:nvPicPr>
        <xdr:cNvPr id="17"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1750" b="31750"/>
        <a:stretch>
          <a:fillRect/>
        </a:stretch>
      </xdr:blipFill>
      <xdr:spPr bwMode="auto">
        <a:xfrm>
          <a:off x="134472" y="6510189"/>
          <a:ext cx="1725704" cy="529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348318</xdr:colOff>
      <xdr:row>29</xdr:row>
      <xdr:rowOff>65486</xdr:rowOff>
    </xdr:from>
    <xdr:to>
      <xdr:col>7</xdr:col>
      <xdr:colOff>515009</xdr:colOff>
      <xdr:row>32</xdr:row>
      <xdr:rowOff>45593</xdr:rowOff>
    </xdr:to>
    <xdr:pic>
      <xdr:nvPicPr>
        <xdr:cNvPr id="19" name="Picture 18" descr="C:\Pieter Burger - Werk\Kaap Agri\Dokumentasie\20. Wesgraan Template\LOGOS\Wesgraan logo_3 Kleur_002.pn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427" r="3484"/>
        <a:stretch/>
      </xdr:blipFill>
      <xdr:spPr bwMode="auto">
        <a:xfrm>
          <a:off x="2040406" y="6531280"/>
          <a:ext cx="1780338" cy="45075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629986</xdr:colOff>
      <xdr:row>10</xdr:row>
      <xdr:rowOff>95251</xdr:rowOff>
    </xdr:from>
    <xdr:to>
      <xdr:col>15</xdr:col>
      <xdr:colOff>616600</xdr:colOff>
      <xdr:row>16</xdr:row>
      <xdr:rowOff>59532</xdr:rowOff>
    </xdr:to>
    <xdr:pic>
      <xdr:nvPicPr>
        <xdr:cNvPr id="3" name="Picture 2"/>
        <xdr:cNvPicPr>
          <a:picLocks noChangeAspect="1"/>
        </xdr:cNvPicPr>
      </xdr:nvPicPr>
      <xdr:blipFill>
        <a:blip xmlns:r="http://schemas.openxmlformats.org/officeDocument/2006/relationships" r:embed="rId1"/>
        <a:stretch>
          <a:fillRect/>
        </a:stretch>
      </xdr:blipFill>
      <xdr:spPr>
        <a:xfrm>
          <a:off x="11405142" y="3619501"/>
          <a:ext cx="724802" cy="964406"/>
        </a:xfrm>
        <a:prstGeom prst="rect">
          <a:avLst/>
        </a:prstGeom>
      </xdr:spPr>
    </xdr:pic>
    <xdr:clientData/>
  </xdr:twoCellAnchor>
  <xdr:twoCellAnchor editAs="oneCell">
    <xdr:from>
      <xdr:col>14</xdr:col>
      <xdr:colOff>130969</xdr:colOff>
      <xdr:row>30</xdr:row>
      <xdr:rowOff>130968</xdr:rowOff>
    </xdr:from>
    <xdr:to>
      <xdr:col>15</xdr:col>
      <xdr:colOff>704630</xdr:colOff>
      <xdr:row>36</xdr:row>
      <xdr:rowOff>143248</xdr:rowOff>
    </xdr:to>
    <xdr:pic>
      <xdr:nvPicPr>
        <xdr:cNvPr id="4" name="Picture 3"/>
        <xdr:cNvPicPr>
          <a:picLocks noChangeAspect="1"/>
        </xdr:cNvPicPr>
      </xdr:nvPicPr>
      <xdr:blipFill>
        <a:blip xmlns:r="http://schemas.openxmlformats.org/officeDocument/2006/relationships" r:embed="rId2"/>
        <a:stretch>
          <a:fillRect/>
        </a:stretch>
      </xdr:blipFill>
      <xdr:spPr>
        <a:xfrm>
          <a:off x="10906125" y="7489031"/>
          <a:ext cx="1311849" cy="1012405"/>
        </a:xfrm>
        <a:prstGeom prst="rect">
          <a:avLst/>
        </a:prstGeom>
      </xdr:spPr>
    </xdr:pic>
    <xdr:clientData/>
  </xdr:twoCellAnchor>
  <xdr:twoCellAnchor editAs="oneCell">
    <xdr:from>
      <xdr:col>15</xdr:col>
      <xdr:colOff>23811</xdr:colOff>
      <xdr:row>64</xdr:row>
      <xdr:rowOff>95249</xdr:rowOff>
    </xdr:from>
    <xdr:to>
      <xdr:col>15</xdr:col>
      <xdr:colOff>606030</xdr:colOff>
      <xdr:row>68</xdr:row>
      <xdr:rowOff>105499</xdr:rowOff>
    </xdr:to>
    <xdr:pic>
      <xdr:nvPicPr>
        <xdr:cNvPr id="2" name="Picture 1"/>
        <xdr:cNvPicPr>
          <a:picLocks noChangeAspect="1"/>
        </xdr:cNvPicPr>
      </xdr:nvPicPr>
      <xdr:blipFill>
        <a:blip xmlns:r="http://schemas.openxmlformats.org/officeDocument/2006/relationships" r:embed="rId3"/>
        <a:stretch>
          <a:fillRect/>
        </a:stretch>
      </xdr:blipFill>
      <xdr:spPr>
        <a:xfrm>
          <a:off x="11882436" y="10929937"/>
          <a:ext cx="582219" cy="677000"/>
        </a:xfrm>
        <a:prstGeom prst="rect">
          <a:avLst/>
        </a:prstGeom>
      </xdr:spPr>
    </xdr:pic>
    <xdr:clientData/>
  </xdr:twoCellAnchor>
  <xdr:twoCellAnchor editAs="oneCell">
    <xdr:from>
      <xdr:col>12</xdr:col>
      <xdr:colOff>274111</xdr:colOff>
      <xdr:row>91</xdr:row>
      <xdr:rowOff>71438</xdr:rowOff>
    </xdr:from>
    <xdr:to>
      <xdr:col>15</xdr:col>
      <xdr:colOff>666749</xdr:colOff>
      <xdr:row>98</xdr:row>
      <xdr:rowOff>7936</xdr:rowOff>
    </xdr:to>
    <xdr:pic>
      <xdr:nvPicPr>
        <xdr:cNvPr id="7"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43611" y="14612938"/>
          <a:ext cx="2308221" cy="1047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414619</xdr:colOff>
      <xdr:row>486</xdr:row>
      <xdr:rowOff>100852</xdr:rowOff>
    </xdr:from>
    <xdr:to>
      <xdr:col>16384</xdr:col>
      <xdr:colOff>535526</xdr:colOff>
      <xdr:row>493</xdr:row>
      <xdr:rowOff>45745</xdr:rowOff>
    </xdr:to>
    <xdr:pic>
      <xdr:nvPicPr>
        <xdr:cNvPr id="5" name="Picture 4"/>
        <xdr:cNvPicPr>
          <a:picLocks noChangeAspect="1"/>
        </xdr:cNvPicPr>
      </xdr:nvPicPr>
      <xdr:blipFill>
        <a:blip xmlns:r="http://schemas.openxmlformats.org/officeDocument/2006/relationships" r:embed="rId5"/>
        <a:stretch>
          <a:fillRect/>
        </a:stretch>
      </xdr:blipFill>
      <xdr:spPr>
        <a:xfrm>
          <a:off x="13234148" y="100752087"/>
          <a:ext cx="1277756" cy="1076687"/>
        </a:xfrm>
        <a:prstGeom prst="rect">
          <a:avLst/>
        </a:prstGeom>
      </xdr:spPr>
    </xdr:pic>
    <xdr:clientData/>
  </xdr:twoCellAnchor>
  <xdr:twoCellAnchor editAs="oneCell">
    <xdr:from>
      <xdr:col>21</xdr:col>
      <xdr:colOff>0</xdr:colOff>
      <xdr:row>468</xdr:row>
      <xdr:rowOff>134471</xdr:rowOff>
    </xdr:from>
    <xdr:to>
      <xdr:col>16384</xdr:col>
      <xdr:colOff>532005</xdr:colOff>
      <xdr:row>475</xdr:row>
      <xdr:rowOff>134472</xdr:rowOff>
    </xdr:to>
    <xdr:pic>
      <xdr:nvPicPr>
        <xdr:cNvPr id="8" name="Picture 7" descr="http://www.rovicleers.co.za/custpics/catalogue/27/thumbs/1HMD1_im.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435853" y="97917000"/>
          <a:ext cx="1165676" cy="1131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704949</xdr:colOff>
      <xdr:row>127</xdr:row>
      <xdr:rowOff>89646</xdr:rowOff>
    </xdr:from>
    <xdr:to>
      <xdr:col>15</xdr:col>
      <xdr:colOff>585310</xdr:colOff>
      <xdr:row>131</xdr:row>
      <xdr:rowOff>100852</xdr:rowOff>
    </xdr:to>
    <xdr:pic>
      <xdr:nvPicPr>
        <xdr:cNvPr id="9" name="Picture 8"/>
        <xdr:cNvPicPr>
          <a:picLocks noChangeAspect="1"/>
        </xdr:cNvPicPr>
      </xdr:nvPicPr>
      <xdr:blipFill>
        <a:blip xmlns:r="http://schemas.openxmlformats.org/officeDocument/2006/relationships" r:embed="rId7"/>
        <a:stretch>
          <a:fillRect/>
        </a:stretch>
      </xdr:blipFill>
      <xdr:spPr>
        <a:xfrm>
          <a:off x="11843596" y="21067058"/>
          <a:ext cx="619950" cy="638736"/>
        </a:xfrm>
        <a:prstGeom prst="rect">
          <a:avLst/>
        </a:prstGeom>
      </xdr:spPr>
    </xdr:pic>
    <xdr:clientData/>
  </xdr:twoCellAnchor>
  <xdr:twoCellAnchor editAs="oneCell">
    <xdr:from>
      <xdr:col>20</xdr:col>
      <xdr:colOff>549088</xdr:colOff>
      <xdr:row>439</xdr:row>
      <xdr:rowOff>145676</xdr:rowOff>
    </xdr:from>
    <xdr:to>
      <xdr:col>16384</xdr:col>
      <xdr:colOff>532203</xdr:colOff>
      <xdr:row>443</xdr:row>
      <xdr:rowOff>51407</xdr:rowOff>
    </xdr:to>
    <xdr:pic>
      <xdr:nvPicPr>
        <xdr:cNvPr id="16" name="Picture 15"/>
        <xdr:cNvPicPr>
          <a:picLocks noChangeAspect="1"/>
        </xdr:cNvPicPr>
      </xdr:nvPicPr>
      <xdr:blipFill>
        <a:blip xmlns:r="http://schemas.openxmlformats.org/officeDocument/2006/relationships" r:embed="rId8"/>
        <a:stretch>
          <a:fillRect/>
        </a:stretch>
      </xdr:blipFill>
      <xdr:spPr>
        <a:xfrm>
          <a:off x="13368617" y="93221735"/>
          <a:ext cx="1291781" cy="533262"/>
        </a:xfrm>
        <a:prstGeom prst="rect">
          <a:avLst/>
        </a:prstGeom>
      </xdr:spPr>
    </xdr:pic>
    <xdr:clientData/>
  </xdr:twoCellAnchor>
  <xdr:twoCellAnchor editAs="oneCell">
    <xdr:from>
      <xdr:col>17</xdr:col>
      <xdr:colOff>57685</xdr:colOff>
      <xdr:row>146</xdr:row>
      <xdr:rowOff>47625</xdr:rowOff>
    </xdr:from>
    <xdr:to>
      <xdr:col>16384</xdr:col>
      <xdr:colOff>531474</xdr:colOff>
      <xdr:row>151</xdr:row>
      <xdr:rowOff>40966</xdr:rowOff>
    </xdr:to>
    <xdr:pic>
      <xdr:nvPicPr>
        <xdr:cNvPr id="20" name="Picture 19"/>
        <xdr:cNvPicPr>
          <a:picLocks noChangeAspect="1"/>
        </xdr:cNvPicPr>
      </xdr:nvPicPr>
      <xdr:blipFill>
        <a:blip xmlns:r="http://schemas.openxmlformats.org/officeDocument/2006/relationships" r:embed="rId9"/>
        <a:stretch>
          <a:fillRect/>
        </a:stretch>
      </xdr:blipFill>
      <xdr:spPr>
        <a:xfrm>
          <a:off x="12749748" y="24050625"/>
          <a:ext cx="607139" cy="8267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resbank.co.z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tractordata.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agrister.com/" TargetMode="External"/><Relationship Id="rId7" Type="http://schemas.openxmlformats.org/officeDocument/2006/relationships/printerSettings" Target="../printerSettings/printerSettings6.bin"/><Relationship Id="rId2" Type="http://schemas.openxmlformats.org/officeDocument/2006/relationships/hyperlink" Target="http://konedata.net/" TargetMode="External"/><Relationship Id="rId1" Type="http://schemas.openxmlformats.org/officeDocument/2006/relationships/hyperlink" Target="http://harvestop.eu/" TargetMode="External"/><Relationship Id="rId6" Type="http://schemas.openxmlformats.org/officeDocument/2006/relationships/hyperlink" Target="http://www.ritchiespecs.com/" TargetMode="External"/><Relationship Id="rId5" Type="http://schemas.openxmlformats.org/officeDocument/2006/relationships/hyperlink" Target="http://www.ritchiespecs.com/" TargetMode="External"/><Relationship Id="rId4" Type="http://schemas.openxmlformats.org/officeDocument/2006/relationships/hyperlink" Target="http://www.ritchiespecs.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47"/>
  <sheetViews>
    <sheetView showGridLines="0" tabSelected="1" zoomScale="85" zoomScaleNormal="85" workbookViewId="0"/>
  </sheetViews>
  <sheetFormatPr defaultColWidth="0" defaultRowHeight="12.75" zeroHeight="1"/>
  <cols>
    <col min="1" max="1" width="0.88671875" style="275" customWidth="1"/>
    <col min="2" max="11" width="6.33203125" style="276" customWidth="1"/>
    <col min="12" max="16" width="8.44140625" style="276" customWidth="1"/>
    <col min="17" max="17" width="8.109375" style="276" customWidth="1"/>
    <col min="18" max="19" width="0" style="276" hidden="1" customWidth="1"/>
    <col min="20" max="16384" width="8.88671875" style="276" hidden="1"/>
  </cols>
  <sheetData>
    <row r="1" spans="1:19" ht="60">
      <c r="A1" s="276"/>
      <c r="B1" s="316" t="s">
        <v>1024</v>
      </c>
      <c r="C1" s="314"/>
      <c r="D1" s="314"/>
      <c r="E1" s="314"/>
      <c r="F1" s="314"/>
      <c r="G1" s="314"/>
      <c r="H1" s="314"/>
      <c r="I1" s="314"/>
      <c r="J1" s="314"/>
      <c r="K1" s="314"/>
      <c r="L1" s="314"/>
      <c r="M1" s="314"/>
      <c r="N1" s="314"/>
      <c r="O1" s="314"/>
      <c r="Q1" s="314"/>
      <c r="S1"/>
    </row>
    <row r="2" spans="1:19" ht="33.75">
      <c r="A2" s="276"/>
      <c r="B2" s="317" t="s">
        <v>1227</v>
      </c>
      <c r="C2" s="315"/>
      <c r="D2" s="315"/>
      <c r="E2" s="315"/>
      <c r="F2" s="315"/>
      <c r="G2" s="315"/>
      <c r="H2" s="315"/>
      <c r="I2" s="315"/>
      <c r="J2" s="315"/>
      <c r="K2" s="315"/>
      <c r="L2" s="315"/>
      <c r="M2" s="315"/>
      <c r="N2" s="315"/>
      <c r="P2" s="341"/>
    </row>
    <row r="3" spans="1:19" ht="18">
      <c r="O3" s="342"/>
    </row>
    <row r="4" spans="1:19" ht="25.5">
      <c r="B4" s="943" t="s">
        <v>1499</v>
      </c>
      <c r="P4"/>
      <c r="Q4" s="319"/>
    </row>
    <row r="5" spans="1:19"/>
    <row r="6" spans="1:19"/>
    <row r="7" spans="1:19" ht="15.75">
      <c r="B7" s="320" t="s">
        <v>504</v>
      </c>
      <c r="K7" s="313"/>
    </row>
    <row r="8" spans="1:19" ht="15.75">
      <c r="B8" s="312"/>
      <c r="K8" s="313"/>
    </row>
    <row r="9" spans="1:19" ht="15.75">
      <c r="B9" s="318" t="s">
        <v>1026</v>
      </c>
      <c r="K9" s="313"/>
    </row>
    <row r="10" spans="1:19" ht="15.75">
      <c r="B10" s="318" t="s">
        <v>1510</v>
      </c>
    </row>
    <row r="11" spans="1:19" ht="15.75">
      <c r="B11" s="318" t="s">
        <v>1511</v>
      </c>
    </row>
    <row r="12" spans="1:19" ht="15.75">
      <c r="B12" s="312" t="s">
        <v>1512</v>
      </c>
    </row>
    <row r="13" spans="1:19" ht="15.75">
      <c r="B13" s="321"/>
    </row>
    <row r="14" spans="1:19" ht="15.75">
      <c r="B14" s="318" t="s">
        <v>1310</v>
      </c>
    </row>
    <row r="15" spans="1:19" ht="15.75">
      <c r="B15" s="866" t="s">
        <v>1194</v>
      </c>
      <c r="C15" s="867"/>
      <c r="D15" s="867"/>
      <c r="E15" s="867"/>
      <c r="F15" s="867"/>
    </row>
    <row r="16" spans="1:19" ht="15.75">
      <c r="B16" s="866" t="s">
        <v>1519</v>
      </c>
      <c r="C16" s="867"/>
      <c r="D16" s="867"/>
      <c r="E16" s="867"/>
      <c r="F16" s="867"/>
    </row>
    <row r="17" spans="1:17" s="856" customFormat="1">
      <c r="A17" s="855"/>
      <c r="G17" s="276"/>
    </row>
    <row r="18" spans="1:17" ht="15.75">
      <c r="B18" s="318" t="s">
        <v>1027</v>
      </c>
    </row>
    <row r="19" spans="1:17" ht="15.75">
      <c r="B19" s="318" t="s">
        <v>1022</v>
      </c>
    </row>
    <row r="20" spans="1:17" ht="15.75">
      <c r="B20" s="312" t="s">
        <v>1079</v>
      </c>
    </row>
    <row r="21" spans="1:17" ht="15.75">
      <c r="B21" s="312"/>
    </row>
    <row r="22" spans="1:17" ht="15.75">
      <c r="B22" s="312"/>
    </row>
    <row r="23" spans="1:17" ht="15.75">
      <c r="B23" s="320" t="s">
        <v>505</v>
      </c>
    </row>
    <row r="24" spans="1:17" ht="15.75">
      <c r="B24" s="321" t="s">
        <v>506</v>
      </c>
    </row>
    <row r="25" spans="1:17"/>
    <row r="26" spans="1:17" ht="15.75">
      <c r="B26" s="321" t="s">
        <v>1023</v>
      </c>
    </row>
    <row r="27" spans="1:17"/>
    <row r="28" spans="1:17"/>
    <row r="29" spans="1:17" ht="12.75" customHeight="1">
      <c r="M29" s="970" t="s">
        <v>1513</v>
      </c>
      <c r="N29" s="970"/>
      <c r="O29" s="970"/>
      <c r="P29" s="970"/>
      <c r="Q29" s="970"/>
    </row>
    <row r="30" spans="1:17">
      <c r="L30" s="946"/>
      <c r="M30" s="970"/>
      <c r="N30" s="970"/>
      <c r="O30" s="970"/>
      <c r="P30" s="970"/>
      <c r="Q30" s="970"/>
    </row>
    <row r="31" spans="1:17">
      <c r="L31" s="946"/>
      <c r="M31" s="970"/>
      <c r="N31" s="970"/>
      <c r="O31" s="970"/>
      <c r="P31" s="970"/>
      <c r="Q31" s="970"/>
    </row>
    <row r="32" spans="1:17">
      <c r="L32" s="946"/>
      <c r="M32" s="970"/>
      <c r="N32" s="970"/>
      <c r="O32" s="970"/>
      <c r="P32" s="970"/>
      <c r="Q32" s="970"/>
    </row>
    <row r="33" spans="2:17">
      <c r="L33" s="946"/>
      <c r="M33" s="970"/>
      <c r="N33" s="970"/>
      <c r="O33" s="970"/>
      <c r="P33" s="970"/>
      <c r="Q33" s="970"/>
    </row>
    <row r="34" spans="2:17">
      <c r="L34" s="946"/>
      <c r="M34" s="970"/>
      <c r="N34" s="970"/>
      <c r="O34" s="970"/>
      <c r="P34" s="970"/>
      <c r="Q34" s="970"/>
    </row>
    <row r="35" spans="2:17">
      <c r="M35" s="948"/>
      <c r="N35" s="948"/>
      <c r="O35" s="948"/>
      <c r="P35" s="948"/>
      <c r="Q35" s="948"/>
    </row>
    <row r="36" spans="2:17"/>
    <row r="37" spans="2:17" s="173" customFormat="1" ht="12.75" customHeight="1">
      <c r="B37" s="947"/>
      <c r="C37" s="946"/>
      <c r="D37" s="946"/>
      <c r="E37" s="946"/>
      <c r="F37" s="946"/>
      <c r="G37" s="946"/>
      <c r="H37" s="946"/>
      <c r="I37" s="946"/>
      <c r="J37" s="946"/>
      <c r="K37" s="946"/>
      <c r="L37" s="946"/>
      <c r="M37" s="946"/>
      <c r="N37" s="946"/>
      <c r="O37" s="946"/>
      <c r="P37" s="946"/>
      <c r="Q37" s="946"/>
    </row>
    <row r="38" spans="2:17" s="173" customFormat="1">
      <c r="B38" s="946"/>
      <c r="C38" s="946"/>
      <c r="D38" s="946"/>
      <c r="E38" s="946"/>
      <c r="F38" s="946"/>
      <c r="G38" s="946"/>
      <c r="H38" s="946"/>
      <c r="I38" s="946"/>
      <c r="J38" s="946"/>
      <c r="K38" s="946"/>
      <c r="L38" s="946"/>
      <c r="M38" s="946"/>
      <c r="N38" s="946"/>
      <c r="O38" s="946"/>
      <c r="P38" s="946"/>
      <c r="Q38" s="946"/>
    </row>
    <row r="39" spans="2:17" s="173" customFormat="1">
      <c r="B39" s="946"/>
      <c r="C39" s="946"/>
      <c r="D39" s="946"/>
      <c r="E39" s="946"/>
      <c r="F39" s="946"/>
      <c r="G39" s="946"/>
      <c r="H39" s="946"/>
      <c r="I39" s="946"/>
      <c r="J39" s="946"/>
      <c r="K39" s="946"/>
      <c r="L39" s="946"/>
      <c r="M39" s="946"/>
      <c r="N39" s="946"/>
      <c r="O39" s="946"/>
      <c r="P39" s="946"/>
      <c r="Q39" s="946"/>
    </row>
    <row r="40" spans="2:17" s="173" customFormat="1">
      <c r="B40" s="946"/>
      <c r="C40" s="946"/>
      <c r="D40" s="946"/>
      <c r="E40" s="946"/>
      <c r="F40" s="946"/>
      <c r="G40" s="946"/>
      <c r="H40" s="946"/>
      <c r="I40" s="946"/>
      <c r="J40" s="946"/>
      <c r="K40" s="946"/>
      <c r="L40" s="946"/>
      <c r="M40" s="946"/>
      <c r="N40" s="946"/>
      <c r="O40" s="946"/>
      <c r="P40" s="946"/>
      <c r="Q40" s="946"/>
    </row>
    <row r="41" spans="2:17"/>
    <row r="42" spans="2:17"/>
    <row r="43" spans="2:17"/>
    <row r="44" spans="2:17"/>
    <row r="45" spans="2:17"/>
    <row r="46" spans="2:17"/>
    <row r="47" spans="2:17"/>
  </sheetData>
  <sheetProtection algorithmName="SHA-512" hashValue="Ln915ahQbcZZK+8Hwb9+XFgzIYgmyL0I6/5YHC4Da9eqVv0el2PqS0pcyZJerpB5Bt/wlH7XzWosBYdKW5utug==" saltValue="PzA9wVXEfaRYn6g/DrJgAg==" spinCount="100000" sheet="1" objects="1" sort="0" autoFilter="0" pivotTables="0"/>
  <mergeCells count="1">
    <mergeCell ref="M29:Q34"/>
  </mergeCells>
  <pageMargins left="0.51181102362204722" right="0.51181102362204722" top="0.28999999999999998" bottom="0.35" header="0.31496062992125984" footer="0.31496062992125984"/>
  <pageSetup paperSize="9" scale="95"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P92"/>
  <sheetViews>
    <sheetView showGridLines="0" zoomScale="85" zoomScaleNormal="85" workbookViewId="0">
      <selection activeCell="E21" sqref="E21"/>
    </sheetView>
  </sheetViews>
  <sheetFormatPr defaultColWidth="0" defaultRowHeight="12.75" zeroHeight="1"/>
  <cols>
    <col min="1" max="1" width="2.44140625" style="152" customWidth="1"/>
    <col min="2" max="2" width="4.5546875" style="104" customWidth="1"/>
    <col min="3" max="4" width="2.21875" style="152" customWidth="1"/>
    <col min="5" max="5" width="47.88671875" style="152" customWidth="1"/>
    <col min="6" max="6" width="3.33203125" style="741" customWidth="1"/>
    <col min="7" max="7" width="8.88671875" style="152" customWidth="1"/>
    <col min="8" max="8" width="2.21875" style="104" customWidth="1"/>
    <col min="9" max="9" width="4.5546875" style="152" customWidth="1"/>
    <col min="10" max="11" width="2.21875" style="152" customWidth="1"/>
    <col min="12" max="12" width="50.77734375" style="152" customWidth="1"/>
    <col min="13" max="13" width="3.5546875" style="152" customWidth="1"/>
    <col min="14" max="14" width="3.5546875" style="104" customWidth="1"/>
    <col min="15" max="15" width="3.21875" style="152" customWidth="1"/>
    <col min="16" max="16" width="2.77734375" style="152" customWidth="1"/>
    <col min="17" max="16384" width="8.88671875" style="152" hidden="1"/>
  </cols>
  <sheetData>
    <row r="1" spans="2:15">
      <c r="I1" s="104"/>
      <c r="M1" s="741"/>
      <c r="N1" s="152"/>
    </row>
    <row r="2" spans="2:15" s="222" customFormat="1" ht="30" customHeight="1" thickBot="1">
      <c r="B2" s="323" t="s">
        <v>443</v>
      </c>
      <c r="C2" s="324"/>
      <c r="D2" s="324"/>
      <c r="E2" s="324"/>
      <c r="F2" s="738"/>
      <c r="G2" s="324"/>
      <c r="H2" s="324"/>
      <c r="I2" s="324"/>
      <c r="J2" s="324"/>
      <c r="K2" s="324"/>
      <c r="L2" s="324"/>
      <c r="M2" s="324"/>
      <c r="N2" s="324"/>
      <c r="O2" s="325"/>
    </row>
    <row r="3" spans="2:15"/>
    <row r="4" spans="2:15">
      <c r="B4" s="971" t="s">
        <v>558</v>
      </c>
      <c r="C4" s="971"/>
      <c r="D4" s="971"/>
      <c r="E4" s="971"/>
      <c r="F4" s="739">
        <v>1</v>
      </c>
      <c r="I4" s="840">
        <f>ROUNDDOWN(MAX($B$10:B50),0)+1</f>
        <v>9</v>
      </c>
      <c r="J4" s="168"/>
      <c r="K4" s="168"/>
      <c r="L4" s="340" t="str">
        <f>VLOOKUP(Inhoud!I4,'Implemente &amp; Waens'!$B:$D,2,FALSE)</f>
        <v>PLANTERS EN SAAIMASJIENE</v>
      </c>
      <c r="M4" s="739">
        <v>23</v>
      </c>
    </row>
    <row r="5" spans="2:15">
      <c r="F5" s="739"/>
      <c r="I5" s="338">
        <f>I4+0.01</f>
        <v>9.01</v>
      </c>
      <c r="J5" s="167"/>
      <c r="K5" s="167"/>
      <c r="L5" s="339" t="str">
        <f>VLOOKUP(Inhoud!I5,'Implemente &amp; Waens'!$B:$D,2,FALSE)</f>
        <v xml:space="preserve">MINIMUM BEWERKING KLEINGRAAN GRAVITASIE PLANTERS </v>
      </c>
      <c r="M5" s="741">
        <v>23</v>
      </c>
    </row>
    <row r="6" spans="2:15">
      <c r="B6" s="971" t="s">
        <v>559</v>
      </c>
      <c r="C6" s="971"/>
      <c r="D6" s="971"/>
      <c r="E6" s="971"/>
      <c r="F6" s="739">
        <v>3</v>
      </c>
      <c r="I6" s="338">
        <f t="shared" ref="I6:I8" si="0">I5+0.01</f>
        <v>9.02</v>
      </c>
      <c r="J6" s="167"/>
      <c r="K6" s="167"/>
      <c r="L6" s="339" t="str">
        <f>VLOOKUP(Inhoud!I6,'Implemente &amp; Waens'!$B:$D,2,FALSE)</f>
        <v>MINIMUM BEWERKING KLEINGRAAN LUGDRUK PLANTERS</v>
      </c>
      <c r="M6" s="741">
        <v>23</v>
      </c>
    </row>
    <row r="7" spans="2:15">
      <c r="F7" s="739"/>
      <c r="I7" s="338">
        <f t="shared" si="0"/>
        <v>9.0299999999999994</v>
      </c>
      <c r="J7" s="167"/>
      <c r="K7" s="167"/>
      <c r="L7" s="339" t="str">
        <f>VLOOKUP(Inhoud!I7,'Implemente &amp; Waens'!$B:$D,2,FALSE)</f>
        <v>KLEINGRAAN GRAVITASIE SAAIMASJIEN (EENDEKUIL DRILL)</v>
      </c>
      <c r="M7" s="741">
        <v>24</v>
      </c>
    </row>
    <row r="8" spans="2:15">
      <c r="B8" s="971" t="s">
        <v>1521</v>
      </c>
      <c r="C8" s="971"/>
      <c r="D8" s="971"/>
      <c r="E8" s="971"/>
      <c r="F8" s="739">
        <v>4</v>
      </c>
      <c r="I8" s="338">
        <f t="shared" si="0"/>
        <v>9.0399999999999991</v>
      </c>
      <c r="J8" s="167"/>
      <c r="K8" s="167"/>
      <c r="L8" s="339" t="str">
        <f>VLOOKUP(Inhoud!I8,'Implemente &amp; Waens'!$B:$D,2,FALSE)</f>
        <v>KLEINGRAAN SKOTTEL PLANTER MET DISAKSIE</v>
      </c>
      <c r="M8" s="741">
        <v>24</v>
      </c>
    </row>
    <row r="9" spans="2:15">
      <c r="F9" s="739"/>
    </row>
    <row r="10" spans="2:15">
      <c r="B10" s="335" t="str">
        <f>Trekkers!B2</f>
        <v xml:space="preserve"> TREKKERS</v>
      </c>
      <c r="C10" s="336"/>
      <c r="D10" s="336"/>
      <c r="E10" s="336"/>
      <c r="F10" s="740">
        <v>4</v>
      </c>
      <c r="I10" s="840">
        <f>ROUNDDOWN(MAX($I$4:I7),0)+1</f>
        <v>10</v>
      </c>
      <c r="J10" s="168"/>
      <c r="K10" s="168"/>
      <c r="L10" s="340" t="str">
        <f>VLOOKUP(Inhoud!I10,'Implemente &amp; Waens'!$B:$D,2,FALSE)</f>
        <v>SPUITE</v>
      </c>
      <c r="M10" s="739">
        <v>25</v>
      </c>
    </row>
    <row r="11" spans="2:15">
      <c r="B11" s="168"/>
      <c r="C11" s="167"/>
      <c r="D11" s="167"/>
      <c r="E11" s="167"/>
      <c r="F11" s="739"/>
      <c r="I11" s="338">
        <f>I10+0.01</f>
        <v>10.01</v>
      </c>
      <c r="J11" s="167"/>
      <c r="K11" s="167"/>
      <c r="L11" s="339" t="str">
        <f>VLOOKUP(Inhoud!I11,'Implemente &amp; Waens'!$B:$D,2,FALSE)</f>
        <v>BALKSPUITE</v>
      </c>
      <c r="M11" s="741">
        <v>25</v>
      </c>
    </row>
    <row r="12" spans="2:15">
      <c r="B12" s="840">
        <v>1</v>
      </c>
      <c r="C12" s="167"/>
      <c r="D12" s="167"/>
      <c r="E12" s="340" t="str">
        <f>Trekkers!C9</f>
        <v>4 X 2 TREKKERS</v>
      </c>
      <c r="F12" s="739">
        <v>4</v>
      </c>
      <c r="I12" s="338">
        <f t="shared" ref="I12" si="1">I11+0.01</f>
        <v>10.02</v>
      </c>
      <c r="J12" s="167"/>
      <c r="K12" s="167"/>
      <c r="L12" s="339" t="str">
        <f>VLOOKUP(Inhoud!I12,'Implemente &amp; Waens'!$B:$D,2,FALSE)</f>
        <v>KOUSBALKSPUIT</v>
      </c>
      <c r="M12" s="741">
        <v>25</v>
      </c>
    </row>
    <row r="13" spans="2:15">
      <c r="B13" s="841"/>
      <c r="C13" s="167"/>
      <c r="D13" s="167"/>
      <c r="E13" s="167"/>
      <c r="F13" s="739"/>
      <c r="I13" s="338"/>
      <c r="J13" s="167"/>
      <c r="K13" s="167"/>
      <c r="L13" s="339"/>
    </row>
    <row r="14" spans="2:15">
      <c r="B14" s="840">
        <v>2</v>
      </c>
      <c r="C14" s="167"/>
      <c r="D14" s="167"/>
      <c r="E14" s="340" t="str">
        <f>Trekkers!C36</f>
        <v>4 X 4 TREKKERS</v>
      </c>
      <c r="F14" s="739">
        <v>5</v>
      </c>
      <c r="I14" s="840">
        <f>ROUNDDOWN(MAX($I$4:I13),0)+1</f>
        <v>11</v>
      </c>
      <c r="J14" s="168"/>
      <c r="K14" s="168"/>
      <c r="L14" s="340" t="str">
        <f>VLOOKUP(Inhoud!I14,'Implemente &amp; Waens'!$B:$D,2,FALSE)</f>
        <v>GRAAN EN HOOI SNYERS</v>
      </c>
      <c r="M14" s="739">
        <v>26</v>
      </c>
    </row>
    <row r="15" spans="2:15">
      <c r="B15" s="338"/>
      <c r="C15" s="167"/>
      <c r="D15" s="167"/>
      <c r="E15" s="167"/>
      <c r="F15" s="739"/>
      <c r="I15" s="338">
        <f>I14+0.01</f>
        <v>11.01</v>
      </c>
      <c r="J15" s="167"/>
      <c r="K15" s="167"/>
      <c r="L15" s="339" t="str">
        <f>VLOOKUP(Inhoud!I15,'Implemente &amp; Waens'!$B:$D,2,FALSE)</f>
        <v>PLATSNYERS</v>
      </c>
      <c r="M15" s="741">
        <v>26</v>
      </c>
    </row>
    <row r="16" spans="2:15">
      <c r="B16" s="338"/>
      <c r="C16" s="167"/>
      <c r="D16" s="167"/>
      <c r="E16" s="167"/>
      <c r="F16" s="739"/>
      <c r="I16" s="338">
        <f t="shared" ref="I16:I19" si="2">I15+0.01</f>
        <v>11.02</v>
      </c>
      <c r="J16" s="167"/>
      <c r="K16" s="167"/>
      <c r="L16" s="339" t="str">
        <f>VLOOKUP(Inhoud!I16,'Implemente &amp; Waens'!$B:$D,2,FALSE)</f>
        <v>SKYFSNYMASJIENE</v>
      </c>
      <c r="M16" s="741">
        <v>26</v>
      </c>
    </row>
    <row r="17" spans="2:13">
      <c r="B17" s="335" t="str">
        <f>'Self-Aangedrewe'!B2</f>
        <v xml:space="preserve"> SELF-AANGEDREWE MASJINERIE</v>
      </c>
      <c r="C17" s="336"/>
      <c r="D17" s="336"/>
      <c r="E17" s="336"/>
      <c r="F17" s="740">
        <v>8</v>
      </c>
      <c r="I17" s="338">
        <f t="shared" si="2"/>
        <v>11.03</v>
      </c>
      <c r="J17" s="167"/>
      <c r="K17" s="167"/>
      <c r="L17" s="339" t="str">
        <f>VLOOKUP(Inhoud!I17,'Implemente &amp; Waens'!$B:$D,2,FALSE)</f>
        <v>SNYER-KNEUSERS / HAYBINE</v>
      </c>
      <c r="M17" s="741">
        <v>27</v>
      </c>
    </row>
    <row r="18" spans="2:13">
      <c r="B18" s="168"/>
      <c r="C18" s="167"/>
      <c r="D18" s="167"/>
      <c r="E18" s="167"/>
      <c r="F18" s="739"/>
      <c r="I18" s="338">
        <f t="shared" si="2"/>
        <v>11.04</v>
      </c>
      <c r="J18" s="167"/>
      <c r="K18" s="167"/>
      <c r="L18" s="339" t="str">
        <f>VLOOKUP(Inhoud!I18,'Implemente &amp; Waens'!$B:$D,2,FALSE)</f>
        <v>SWAAILEMSNYERS / BOSSIESLANERS</v>
      </c>
      <c r="M18" s="741">
        <v>27</v>
      </c>
    </row>
    <row r="19" spans="2:13">
      <c r="B19" s="840">
        <v>3</v>
      </c>
      <c r="C19" s="167"/>
      <c r="D19" s="167"/>
      <c r="E19" s="340" t="str">
        <f>VLOOKUP(B19,'Self-Aangedrewe'!$B:$D,2,FALSE)</f>
        <v>SELF-AANGEDREWE STROPERS</v>
      </c>
      <c r="F19" s="739">
        <v>8</v>
      </c>
      <c r="I19" s="338">
        <f t="shared" si="2"/>
        <v>11.049999999999999</v>
      </c>
      <c r="J19" s="167"/>
      <c r="K19" s="167"/>
      <c r="L19" s="339" t="str">
        <f>VLOOKUP(Inhoud!I19,'Implemente &amp; Waens'!$B:$D,2,FALSE)</f>
        <v>KUILVOERKERWERS</v>
      </c>
      <c r="M19" s="741">
        <v>28</v>
      </c>
    </row>
    <row r="20" spans="2:13">
      <c r="B20" s="841">
        <f>B19+0.01</f>
        <v>3.01</v>
      </c>
      <c r="C20" s="167"/>
      <c r="D20" s="167"/>
      <c r="E20" s="339" t="str">
        <f>VLOOKUP(B20,'Self-Aangedrewe'!$B:$D,2,FALSE)</f>
        <v>TAFELS VIR SELF-AANGEDREWE STROPERS</v>
      </c>
      <c r="F20" s="741">
        <v>8</v>
      </c>
      <c r="I20" s="338"/>
      <c r="J20" s="167"/>
      <c r="K20" s="167"/>
      <c r="L20" s="339"/>
    </row>
    <row r="21" spans="2:13">
      <c r="B21" s="841">
        <f t="shared" ref="B21:B23" si="3">B20+0.01</f>
        <v>3.0199999999999996</v>
      </c>
      <c r="C21" s="167"/>
      <c r="D21" s="167"/>
      <c r="E21" s="339" t="str">
        <f>VLOOKUP(B21,'Self-Aangedrewe'!$B:$D,2,FALSE)</f>
        <v>SELF-AANGEDREWE STROPERS MET OPTELLER</v>
      </c>
      <c r="F21" s="741">
        <v>9</v>
      </c>
      <c r="I21" s="840">
        <f>ROUNDDOWN(MAX($I$4:I17),0)+1</f>
        <v>12</v>
      </c>
      <c r="J21" s="168"/>
      <c r="K21" s="168"/>
      <c r="L21" s="340" t="str">
        <f>VLOOKUP(Inhoud!I21,'Implemente &amp; Waens'!$B:$D,2,FALSE)</f>
        <v>HOOIHARKE EN SKUDDERS</v>
      </c>
      <c r="M21" s="739">
        <v>28</v>
      </c>
    </row>
    <row r="22" spans="2:13">
      <c r="B22" s="841">
        <f t="shared" si="3"/>
        <v>3.0299999999999994</v>
      </c>
      <c r="C22" s="167"/>
      <c r="D22" s="167"/>
      <c r="E22" s="339" t="str">
        <f>VLOOKUP(B22,'Self-Aangedrewe'!$B:$D,2,FALSE)</f>
        <v>SELF-AANGEDREWE STROPERS MET SNYTAFEL</v>
      </c>
      <c r="F22" s="741">
        <v>10</v>
      </c>
      <c r="I22" s="338">
        <f>I21+0.01</f>
        <v>12.01</v>
      </c>
      <c r="J22" s="167"/>
      <c r="K22" s="167"/>
      <c r="L22" s="339" t="str">
        <f>VLOOKUP(Inhoud!I22,'Implemente &amp; Waens'!$B:$D,2,FALSE)</f>
        <v xml:space="preserve">VINGER-WIEL HOOIHARKE </v>
      </c>
      <c r="M22" s="741">
        <v>28</v>
      </c>
    </row>
    <row r="23" spans="2:13">
      <c r="B23" s="841">
        <f t="shared" si="3"/>
        <v>3.0399999999999991</v>
      </c>
      <c r="C23" s="167"/>
      <c r="D23" s="167"/>
      <c r="E23" s="339" t="str">
        <f>VLOOKUP(B23,'Self-Aangedrewe'!$B:$D,2,FALSE)</f>
        <v>STROPER MODELLE EN ENGIN GROOTTES</v>
      </c>
      <c r="F23" s="741">
        <v>11</v>
      </c>
      <c r="I23" s="338">
        <f t="shared" ref="I23" si="4">I22+0.01</f>
        <v>12.02</v>
      </c>
      <c r="J23" s="167"/>
      <c r="K23" s="167"/>
      <c r="L23" s="339" t="str">
        <f>VLOOKUP(Inhoud!I23,'Implemente &amp; Waens'!$B:$D,2,FALSE)</f>
        <v>HOOISKUDDERS / KRAGHARK / TEDDERS</v>
      </c>
      <c r="M23" s="741">
        <v>29</v>
      </c>
    </row>
    <row r="24" spans="2:13">
      <c r="B24" s="841"/>
      <c r="C24" s="167"/>
      <c r="D24" s="167"/>
      <c r="E24" s="339"/>
      <c r="F24" s="739"/>
      <c r="I24" s="338"/>
      <c r="J24" s="167"/>
      <c r="K24" s="167"/>
      <c r="L24" s="339"/>
    </row>
    <row r="25" spans="2:13">
      <c r="B25" s="840">
        <v>4</v>
      </c>
      <c r="C25" s="167"/>
      <c r="D25" s="167"/>
      <c r="E25" s="340" t="str">
        <f>VLOOKUP(B25,'Self-Aangedrewe'!$B:$D,2,FALSE)</f>
        <v>SELF-AANGEDREWE PLATSNYERS</v>
      </c>
      <c r="F25" s="739">
        <v>12</v>
      </c>
      <c r="I25" s="840">
        <f>ROUNDDOWN(MAX($I$4:I24),0)+1</f>
        <v>13</v>
      </c>
      <c r="J25" s="168"/>
      <c r="K25" s="168"/>
      <c r="L25" s="340" t="str">
        <f>VLOOKUP(Inhoud!I25,'Implemente &amp; Waens'!$B:$D,2,FALSE)</f>
        <v>BALERS EN WRAPPERS</v>
      </c>
      <c r="M25" s="739">
        <v>29</v>
      </c>
    </row>
    <row r="26" spans="2:13">
      <c r="B26" s="841"/>
      <c r="C26" s="167"/>
      <c r="D26" s="167"/>
      <c r="E26" s="167"/>
      <c r="F26" s="739"/>
      <c r="I26" s="338">
        <f>I25+0.01</f>
        <v>13.01</v>
      </c>
      <c r="J26" s="167"/>
      <c r="K26" s="167"/>
      <c r="L26" s="339" t="str">
        <f>VLOOKUP(Inhoud!I26,'Implemente &amp; Waens'!$B:$D,2,FALSE)</f>
        <v>KLEIN VIERKANT BALERS</v>
      </c>
      <c r="M26" s="741">
        <v>29</v>
      </c>
    </row>
    <row r="27" spans="2:13">
      <c r="B27" s="840">
        <v>5</v>
      </c>
      <c r="C27" s="167"/>
      <c r="D27" s="167"/>
      <c r="E27" s="340" t="str">
        <f>VLOOKUP(B27,'Self-Aangedrewe'!$B:$D,2,FALSE)</f>
        <v>SELF-AANGEDREWE SPUITE</v>
      </c>
      <c r="F27" s="739">
        <v>13</v>
      </c>
      <c r="I27" s="338">
        <f t="shared" ref="I27:I29" si="5">I26+0.01</f>
        <v>13.02</v>
      </c>
      <c r="J27" s="167"/>
      <c r="K27" s="167"/>
      <c r="L27" s="339" t="str">
        <f>VLOOKUP(Inhoud!I27,'Implemente &amp; Waens'!$B:$D,2,FALSE)</f>
        <v>GROOT VIERKANT BALERS / BIG PACK</v>
      </c>
      <c r="M27" s="741">
        <v>29</v>
      </c>
    </row>
    <row r="28" spans="2:13">
      <c r="B28" s="338"/>
      <c r="C28" s="167"/>
      <c r="D28" s="167"/>
      <c r="E28" s="167"/>
      <c r="F28" s="739"/>
      <c r="I28" s="338">
        <f t="shared" si="5"/>
        <v>13.03</v>
      </c>
      <c r="J28" s="167"/>
      <c r="K28" s="167"/>
      <c r="L28" s="339" t="str">
        <f>VLOOKUP(Inhoud!I28,'Implemente &amp; Waens'!$B:$D,2,FALSE)</f>
        <v>RONDE BALERS</v>
      </c>
      <c r="M28" s="741">
        <v>30</v>
      </c>
    </row>
    <row r="29" spans="2:13">
      <c r="B29" s="338"/>
      <c r="C29" s="167"/>
      <c r="D29" s="167"/>
      <c r="E29" s="167"/>
      <c r="F29" s="739"/>
      <c r="I29" s="338">
        <f t="shared" si="5"/>
        <v>13.04</v>
      </c>
      <c r="J29" s="167"/>
      <c r="K29" s="167"/>
      <c r="L29" s="339" t="str">
        <f>VLOOKUP(Inhoud!I29,'Implemente &amp; Waens'!$B:$D,2,FALSE)</f>
        <v>RONDE BAAL TOEDRAAIER / WRAPPER</v>
      </c>
      <c r="M29" s="741">
        <v>30</v>
      </c>
    </row>
    <row r="30" spans="2:13">
      <c r="B30" s="335" t="str">
        <f>'Implemente &amp; Waens'!B2</f>
        <v xml:space="preserve"> IMPLEMENTE EN SLEEPWAENS</v>
      </c>
      <c r="C30" s="336"/>
      <c r="D30" s="336"/>
      <c r="E30" s="336"/>
      <c r="F30" s="740">
        <v>16</v>
      </c>
      <c r="I30" s="338"/>
      <c r="J30" s="167"/>
      <c r="K30" s="167"/>
      <c r="L30" s="339"/>
    </row>
    <row r="31" spans="2:13">
      <c r="B31" s="338"/>
      <c r="C31" s="167"/>
      <c r="D31" s="167"/>
      <c r="E31" s="167"/>
      <c r="I31" s="840">
        <f>ROUNDDOWN(MAX($I$4:I28),0)+1</f>
        <v>14</v>
      </c>
      <c r="J31" s="168"/>
      <c r="K31" s="168"/>
      <c r="L31" s="340" t="str">
        <f>VLOOKUP(Inhoud!I31,'Implemente &amp; Waens'!$B:$D,2,FALSE)</f>
        <v>VOERVERWERKING</v>
      </c>
      <c r="M31" s="739">
        <v>30</v>
      </c>
    </row>
    <row r="32" spans="2:13">
      <c r="B32" s="840">
        <f>'Implemente &amp; Waens'!B8</f>
        <v>6</v>
      </c>
      <c r="C32" s="168"/>
      <c r="D32" s="168"/>
      <c r="E32" s="340" t="str">
        <f>VLOOKUP(Inhoud!B32,'Implemente &amp; Waens'!$B:$D,2,FALSE)</f>
        <v>GRONDBEWERKING</v>
      </c>
      <c r="F32" s="739">
        <v>16</v>
      </c>
      <c r="I32" s="338">
        <f>I31+0.01</f>
        <v>14.01</v>
      </c>
      <c r="J32" s="167"/>
      <c r="K32" s="167"/>
      <c r="L32" s="339" t="str">
        <f>VLOOKUP(Inhoud!I32,'Implemente &amp; Waens'!$B:$D,2,FALSE)</f>
        <v>VOERMENGWAENS</v>
      </c>
      <c r="M32" s="741">
        <v>30</v>
      </c>
    </row>
    <row r="33" spans="2:13">
      <c r="B33" s="338">
        <f>B32+0.01</f>
        <v>6.01</v>
      </c>
      <c r="C33" s="167"/>
      <c r="D33" s="167"/>
      <c r="E33" s="339" t="str">
        <f>VLOOKUP(Inhoud!B33,'Implemente &amp; Waens'!$B:$D,2,FALSE)</f>
        <v>HANDICULT EN FIELDSPAN</v>
      </c>
      <c r="F33" s="741">
        <v>16</v>
      </c>
      <c r="I33" s="338">
        <f>I32+0.01</f>
        <v>14.02</v>
      </c>
      <c r="J33" s="167"/>
      <c r="K33" s="167"/>
      <c r="L33" s="339" t="str">
        <f>VLOOKUP(Inhoud!I33,'Implemente &amp; Waens'!$B:$D,2,FALSE)</f>
        <v>HAMMERMEUL</v>
      </c>
      <c r="M33" s="741">
        <v>31</v>
      </c>
    </row>
    <row r="34" spans="2:13">
      <c r="B34" s="338">
        <f t="shared" ref="B34:B41" si="6">B33+0.01</f>
        <v>6.02</v>
      </c>
      <c r="C34" s="167"/>
      <c r="D34" s="167"/>
      <c r="E34" s="339" t="str">
        <f>VLOOKUP(Inhoud!B34,'Implemente &amp; Waens'!$B:$D,2,FALSE)</f>
        <v>TRASH HANDICULT, TRASH FIELDSPAN, SCARRIFIER</v>
      </c>
      <c r="F34" s="741">
        <v>16</v>
      </c>
      <c r="I34" s="338"/>
      <c r="J34" s="167"/>
      <c r="K34" s="167"/>
      <c r="L34" s="339"/>
    </row>
    <row r="35" spans="2:13">
      <c r="B35" s="338">
        <f t="shared" si="6"/>
        <v>6.0299999999999994</v>
      </c>
      <c r="C35" s="167"/>
      <c r="D35" s="167"/>
      <c r="E35" s="339" t="str">
        <f>VLOOKUP(Inhoud!B35,'Implemente &amp; Waens'!$B:$D,2,FALSE)</f>
        <v>BEITELPLOEG / DLB12 / BLANTON</v>
      </c>
      <c r="F35" s="741">
        <v>17</v>
      </c>
      <c r="I35" s="840">
        <f>ROUNDDOWN(MAX($I$4:I34),0)+1</f>
        <v>15</v>
      </c>
      <c r="J35" s="168"/>
      <c r="K35" s="168"/>
      <c r="L35" s="340" t="str">
        <f>VLOOKUP(Inhoud!I35,'Implemente &amp; Waens'!$B:$D,2,FALSE)</f>
        <v>SLEEP- EN ANDER WAENS</v>
      </c>
      <c r="M35" s="739">
        <v>31</v>
      </c>
    </row>
    <row r="36" spans="2:13">
      <c r="B36" s="338">
        <f t="shared" si="6"/>
        <v>6.0399999999999991</v>
      </c>
      <c r="C36" s="167"/>
      <c r="D36" s="167"/>
      <c r="E36" s="339" t="str">
        <f>VLOOKUP(Inhoud!B36,'Implemente &amp; Waens'!$B:$D,2,FALSE)</f>
        <v>SKEURPLOEË</v>
      </c>
      <c r="F36" s="741">
        <v>17</v>
      </c>
      <c r="I36" s="338">
        <f>I35+0.01</f>
        <v>15.01</v>
      </c>
      <c r="J36" s="167"/>
      <c r="K36" s="167"/>
      <c r="L36" s="339" t="str">
        <f>VLOOKUP(Inhoud!I36,'Implemente &amp; Waens'!$B:$D,2,FALSE)</f>
        <v>SLEEPWAENS</v>
      </c>
      <c r="M36" s="741">
        <v>31</v>
      </c>
    </row>
    <row r="37" spans="2:13">
      <c r="B37" s="338">
        <f t="shared" si="6"/>
        <v>6.0499999999999989</v>
      </c>
      <c r="C37" s="167"/>
      <c r="D37" s="167"/>
      <c r="E37" s="339" t="str">
        <f>VLOOKUP(Inhoud!B37,'Implemente &amp; Waens'!$B:$D,2,FALSE)</f>
        <v>DIEP EN EKSTRA DIEP SKEURPLOEË</v>
      </c>
      <c r="F37" s="741">
        <v>18</v>
      </c>
      <c r="I37" s="338">
        <f t="shared" ref="I37:I40" si="7">I36+0.01</f>
        <v>15.02</v>
      </c>
      <c r="J37" s="167"/>
      <c r="K37" s="167"/>
      <c r="L37" s="339" t="str">
        <f>VLOOKUP(Inhoud!I37,'Implemente &amp; Waens'!$B:$D,2,FALSE)</f>
        <v>GRAAN AFTAPKAR</v>
      </c>
      <c r="M37" s="741">
        <v>32</v>
      </c>
    </row>
    <row r="38" spans="2:13">
      <c r="B38" s="338">
        <f t="shared" si="6"/>
        <v>6.0599999999999987</v>
      </c>
      <c r="C38" s="167"/>
      <c r="D38" s="167"/>
      <c r="E38" s="339" t="str">
        <f>VLOOKUP(Inhoud!B38,'Implemente &amp; Waens'!$B:$D,2,FALSE)</f>
        <v>SKAARPLOEG</v>
      </c>
      <c r="F38" s="741">
        <v>19</v>
      </c>
      <c r="I38" s="338">
        <f t="shared" si="7"/>
        <v>15.03</v>
      </c>
      <c r="J38" s="167"/>
      <c r="K38" s="167"/>
      <c r="L38" s="339" t="str">
        <f>VLOOKUP(Inhoud!I38,'Implemente &amp; Waens'!$B:$D,2,FALSE)</f>
        <v>MASSAWAENS</v>
      </c>
      <c r="M38" s="741">
        <v>32</v>
      </c>
    </row>
    <row r="39" spans="2:13">
      <c r="B39" s="338">
        <f t="shared" si="6"/>
        <v>6.0699999999999985</v>
      </c>
      <c r="C39" s="167"/>
      <c r="D39" s="167"/>
      <c r="E39" s="339" t="str">
        <f>VLOOKUP(Inhoud!B39,'Implemente &amp; Waens'!$B:$D,2,FALSE)</f>
        <v>OMKEERPLOEË</v>
      </c>
      <c r="F39" s="741">
        <v>19</v>
      </c>
      <c r="I39" s="338">
        <f t="shared" si="7"/>
        <v>15.04</v>
      </c>
      <c r="J39" s="167"/>
      <c r="K39" s="167"/>
      <c r="L39" s="339" t="str">
        <f>VLOOKUP(Inhoud!I39,'Implemente &amp; Waens'!$B:$D,2,FALSE)</f>
        <v>MASSABAKKE VIR GRAAN</v>
      </c>
      <c r="M39" s="741">
        <v>32</v>
      </c>
    </row>
    <row r="40" spans="2:13">
      <c r="B40" s="338">
        <f t="shared" si="6"/>
        <v>6.0799999999999983</v>
      </c>
      <c r="C40" s="167"/>
      <c r="D40" s="167"/>
      <c r="E40" s="339" t="str">
        <f>VLOOKUP(Inhoud!B40,'Implemente &amp; Waens'!$B:$D,2,FALSE)</f>
        <v xml:space="preserve">SKOTTELPLOEE </v>
      </c>
      <c r="F40" s="741">
        <v>19</v>
      </c>
      <c r="I40" s="338">
        <f t="shared" si="7"/>
        <v>15.049999999999999</v>
      </c>
      <c r="J40" s="167"/>
      <c r="K40" s="167"/>
      <c r="L40" s="339" t="str">
        <f>VLOOKUP(Inhoud!I40,'Implemente &amp; Waens'!$B:$D,2,FALSE)</f>
        <v>WATER EN DIESEL KARRE</v>
      </c>
      <c r="M40" s="741">
        <v>32</v>
      </c>
    </row>
    <row r="41" spans="2:13">
      <c r="B41" s="338">
        <f t="shared" si="6"/>
        <v>6.0899999999999981</v>
      </c>
      <c r="C41" s="167"/>
      <c r="D41" s="167"/>
      <c r="E41" s="339" t="str">
        <f>VLOOKUP(Inhoud!B41,'Implemente &amp; Waens'!$B:$D,2,FALSE)</f>
        <v>KONTRA-SNYEG</v>
      </c>
      <c r="F41" s="741">
        <v>20</v>
      </c>
      <c r="I41" s="338"/>
      <c r="J41" s="167"/>
      <c r="K41" s="167"/>
      <c r="L41" s="339"/>
    </row>
    <row r="42" spans="2:13">
      <c r="B42" s="338"/>
      <c r="C42" s="167"/>
      <c r="D42" s="167"/>
      <c r="E42" s="339"/>
      <c r="I42" s="840">
        <f>ROUNDDOWN(MAX($I$4:I39),0)+1</f>
        <v>16</v>
      </c>
      <c r="J42" s="168"/>
      <c r="K42" s="168"/>
      <c r="L42" s="340" t="str">
        <f>VLOOKUP(Inhoud!I42,'Implemente &amp; Waens'!$B:$D,2,FALSE)</f>
        <v>ANDER</v>
      </c>
      <c r="M42" s="739">
        <v>33</v>
      </c>
    </row>
    <row r="43" spans="2:13">
      <c r="B43" s="840">
        <f>ROUNDDOWN(MAX($B$10:B42),0)+1</f>
        <v>7</v>
      </c>
      <c r="C43" s="168"/>
      <c r="D43" s="168"/>
      <c r="E43" s="340" t="str">
        <f>VLOOKUP(Inhoud!B43,'Implemente &amp; Waens'!$B:$D,2,FALSE)</f>
        <v>VINGER EGGIES EN SAADBEDROLLERS</v>
      </c>
      <c r="F43" s="739">
        <v>21</v>
      </c>
      <c r="I43" s="338">
        <f>I42+0.01</f>
        <v>16.010000000000002</v>
      </c>
      <c r="J43" s="167"/>
      <c r="K43" s="167"/>
      <c r="L43" s="339" t="str">
        <f>VLOOKUP(Inhoud!I43,'Implemente &amp; Waens'!$B:$D,2,FALSE)</f>
        <v>TREKKER LAAIGRAWE</v>
      </c>
      <c r="M43" s="741">
        <v>33</v>
      </c>
    </row>
    <row r="44" spans="2:13">
      <c r="B44" s="338">
        <f>B43+0.01</f>
        <v>7.01</v>
      </c>
      <c r="C44" s="167"/>
      <c r="D44" s="167"/>
      <c r="E44" s="339" t="str">
        <f>VLOOKUP(Inhoud!B44,'Implemente &amp; Waens'!$B:$D,2,FALSE)</f>
        <v xml:space="preserve">VINGER EGGIES </v>
      </c>
      <c r="F44" s="741">
        <v>21</v>
      </c>
      <c r="I44" s="338">
        <f t="shared" ref="I44:I45" si="8">I43+0.01</f>
        <v>16.020000000000003</v>
      </c>
      <c r="J44" s="167"/>
      <c r="K44" s="167"/>
      <c r="L44" s="339" t="str">
        <f>VLOOKUP(Inhoud!I44,'Implemente &amp; Waens'!$B:$D,2,FALSE)</f>
        <v>PAD-/SLOOTSKRAPER</v>
      </c>
      <c r="M44" s="741">
        <v>33</v>
      </c>
    </row>
    <row r="45" spans="2:13">
      <c r="B45" s="338">
        <f t="shared" ref="B45:B46" si="9">B44+0.01</f>
        <v>7.02</v>
      </c>
      <c r="C45" s="167"/>
      <c r="D45" s="167"/>
      <c r="E45" s="339" t="str">
        <f>VLOOKUP(Inhoud!B45,'Implemente &amp; Waens'!$B:$D,2,FALSE)</f>
        <v xml:space="preserve">SAADBED ROLLERS </v>
      </c>
      <c r="F45" s="741">
        <v>21</v>
      </c>
      <c r="I45" s="338">
        <f t="shared" si="8"/>
        <v>16.030000000000005</v>
      </c>
      <c r="J45" s="167"/>
      <c r="K45" s="167"/>
      <c r="L45" s="339" t="str">
        <f>VLOOKUP(Inhoud!I45,'Implemente &amp; Waens'!$B:$D,2,FALSE)</f>
        <v>DAMSKROP</v>
      </c>
      <c r="M45" s="741">
        <v>33</v>
      </c>
    </row>
    <row r="46" spans="2:13">
      <c r="B46" s="338">
        <f t="shared" si="9"/>
        <v>7.0299999999999994</v>
      </c>
      <c r="C46" s="167"/>
      <c r="D46" s="167"/>
      <c r="E46" s="339" t="str">
        <f>VLOOKUP(Inhoud!B46,'Implemente &amp; Waens'!$B:$D,2,FALSE)</f>
        <v>SWAARDIENS KLUITROLLER / ROLMOER</v>
      </c>
      <c r="F46" s="741">
        <v>21</v>
      </c>
      <c r="I46" s="338"/>
      <c r="J46" s="167"/>
      <c r="K46" s="167"/>
      <c r="L46" s="339"/>
    </row>
    <row r="47" spans="2:13">
      <c r="B47" s="338"/>
      <c r="C47" s="167"/>
      <c r="D47" s="167"/>
      <c r="E47" s="339"/>
    </row>
    <row r="48" spans="2:13">
      <c r="B48" s="840">
        <f>ROUNDDOWN(MAX($B$10:B46),0)+1</f>
        <v>8</v>
      </c>
      <c r="C48" s="168"/>
      <c r="D48" s="168"/>
      <c r="E48" s="340" t="str">
        <f>VLOOKUP(Inhoud!B48,'Implemente &amp; Waens'!$B:$D,2,FALSE)</f>
        <v>STROOIERS</v>
      </c>
      <c r="F48" s="739">
        <v>22</v>
      </c>
      <c r="I48" s="335" t="str">
        <f>'Bakkies &amp; Vragmotors'!B2</f>
        <v xml:space="preserve"> BAKKIES EN VRAGMOTORS</v>
      </c>
      <c r="J48" s="336"/>
      <c r="K48" s="336"/>
      <c r="L48" s="336"/>
    </row>
    <row r="49" spans="2:13">
      <c r="B49" s="338">
        <f>B48+0.01</f>
        <v>8.01</v>
      </c>
      <c r="C49" s="167"/>
      <c r="D49" s="167"/>
      <c r="E49" s="339" t="str">
        <f>VLOOKUP(Inhoud!B49,'Implemente &amp; Waens'!$B:$D,2,FALSE)</f>
        <v>KALK EN KUNSMISSTROOIER</v>
      </c>
      <c r="F49" s="741">
        <v>22</v>
      </c>
      <c r="I49" s="338"/>
      <c r="J49" s="167"/>
      <c r="K49" s="167"/>
      <c r="L49" s="337"/>
    </row>
    <row r="50" spans="2:13">
      <c r="B50" s="338">
        <f>B49+0.01</f>
        <v>8.02</v>
      </c>
      <c r="C50" s="167"/>
      <c r="D50" s="167"/>
      <c r="E50" s="339" t="str">
        <f>VLOOKUP(Inhoud!B50,'Implemente &amp; Waens'!$B:$D,2,FALSE)</f>
        <v>MIS EN SLYKSTROOIERS</v>
      </c>
      <c r="F50" s="741">
        <v>23</v>
      </c>
      <c r="I50" s="840">
        <f>'Bakkies &amp; Vragmotors'!B9</f>
        <v>17</v>
      </c>
      <c r="J50" s="168"/>
      <c r="K50" s="168"/>
      <c r="L50" s="340" t="str">
        <f>VLOOKUP(Inhoud!I50,'Bakkies &amp; Vragmotors'!$B:$D,2,FALSE)</f>
        <v>BAKKIES</v>
      </c>
      <c r="M50" s="739">
        <v>35</v>
      </c>
    </row>
    <row r="51" spans="2:13">
      <c r="I51" s="840">
        <f>I50+1</f>
        <v>18</v>
      </c>
      <c r="J51" s="168"/>
      <c r="K51" s="168"/>
      <c r="L51" s="340" t="str">
        <f>VLOOKUP(Inhoud!I51,'Bakkies &amp; Vragmotors'!$B:$D,2,FALSE)</f>
        <v>VRAGMOTORS / LORRIES</v>
      </c>
      <c r="M51" s="739">
        <v>42</v>
      </c>
    </row>
    <row r="52" spans="2:13">
      <c r="B52" s="338"/>
      <c r="C52" s="167"/>
      <c r="D52" s="167"/>
      <c r="E52" s="339"/>
    </row>
    <row r="53" spans="2:13">
      <c r="B53" s="338"/>
      <c r="C53" s="167"/>
      <c r="D53" s="167"/>
      <c r="E53" s="339"/>
      <c r="F53" s="739"/>
    </row>
    <row r="54" spans="2:13"/>
    <row r="55" spans="2:13" hidden="1">
      <c r="F55" s="741">
        <f ca="1">MAX(F42:F54)+RANDBETWEEN(0,1)</f>
        <v>23</v>
      </c>
    </row>
    <row r="56" spans="2:13" hidden="1"/>
    <row r="57" spans="2:13" hidden="1">
      <c r="F57" s="739">
        <f ca="1">MAX(F42:F56)+RANDBETWEEN(0,1)</f>
        <v>23</v>
      </c>
    </row>
    <row r="58" spans="2:13" hidden="1">
      <c r="F58" s="741">
        <f ca="1">MAX(F43:F57)+RANDBETWEEN(0,1)</f>
        <v>23</v>
      </c>
    </row>
    <row r="59" spans="2:13" hidden="1">
      <c r="F59" s="741">
        <f ca="1">MAX(F44:F58)+RANDBETWEEN(0,1)</f>
        <v>23</v>
      </c>
    </row>
    <row r="60" spans="2:13" hidden="1"/>
    <row r="61" spans="2:13" hidden="1">
      <c r="F61" s="739">
        <f ca="1">MAX(F46:F60)+RANDBETWEEN(0,1)</f>
        <v>23</v>
      </c>
    </row>
    <row r="62" spans="2:13" hidden="1">
      <c r="F62" s="741">
        <f ca="1">MAX(F48:F61)+RANDBETWEEN(0,1)</f>
        <v>24</v>
      </c>
    </row>
    <row r="63" spans="2:13" hidden="1">
      <c r="F63" s="741">
        <f ca="1">MAX(F49:F62)+RANDBETWEEN(0,1)</f>
        <v>24</v>
      </c>
    </row>
    <row r="64" spans="2:13" hidden="1"/>
    <row r="65" spans="6:6" hidden="1">
      <c r="F65" s="739">
        <f ca="1">MAX(F53:F64)+RANDBETWEEN(0,1)</f>
        <v>24</v>
      </c>
    </row>
    <row r="66" spans="6:6" hidden="1">
      <c r="F66" s="741">
        <f ca="1">MAX(F54:F65)+RANDBETWEEN(0,1)</f>
        <v>24</v>
      </c>
    </row>
    <row r="67" spans="6:6" hidden="1">
      <c r="F67" s="741">
        <f ca="1">MAX(F55:F66)+RANDBETWEEN(0,1)</f>
        <v>24</v>
      </c>
    </row>
    <row r="68" spans="6:6" hidden="1"/>
    <row r="69" spans="6:6" hidden="1">
      <c r="F69" s="739">
        <f ca="1">MAX(F59:F68)+RANDBETWEEN(0,1)</f>
        <v>24</v>
      </c>
    </row>
    <row r="70" spans="6:6" hidden="1">
      <c r="F70" s="741">
        <f ca="1">MAX(F60:F69)+RANDBETWEEN(0,1)</f>
        <v>24</v>
      </c>
    </row>
    <row r="71" spans="6:6" hidden="1">
      <c r="F71" s="741">
        <f ca="1">MAX(F60:F70)+RANDBETWEEN(0,1)</f>
        <v>25</v>
      </c>
    </row>
    <row r="72" spans="6:6" hidden="1"/>
    <row r="73" spans="6:6" hidden="1">
      <c r="F73" s="739">
        <f ca="1">MAX(F63:F72)+RANDBETWEEN(0,1)</f>
        <v>25</v>
      </c>
    </row>
    <row r="74" spans="6:6" ht="15" hidden="1" customHeight="1">
      <c r="F74" s="741">
        <f ca="1">MAX(F64:F73)+RANDBETWEEN(0,1)</f>
        <v>26</v>
      </c>
    </row>
    <row r="75" spans="6:6" hidden="1">
      <c r="F75" s="741">
        <f ca="1">MAX(F65:F74)+RANDBETWEEN(0,1)</f>
        <v>26</v>
      </c>
    </row>
    <row r="76" spans="6:6" hidden="1"/>
    <row r="77" spans="6:6" hidden="1">
      <c r="F77" s="739">
        <f ca="1">MAX(F68:F76)+RANDBETWEEN(0,1)</f>
        <v>26</v>
      </c>
    </row>
    <row r="78" spans="6:6" hidden="1">
      <c r="F78" s="741">
        <f ca="1">MAX(F68:F77)+RANDBETWEEN(0,1)</f>
        <v>26</v>
      </c>
    </row>
    <row r="79" spans="6:6" hidden="1">
      <c r="F79" s="741">
        <f ca="1">MAX(F68:F78)+RANDBETWEEN(0,1)</f>
        <v>27</v>
      </c>
    </row>
    <row r="80" spans="6:6" hidden="1">
      <c r="F80" s="741">
        <f ca="1">MAX(F68:F79)+RANDBETWEEN(0,1)</f>
        <v>27</v>
      </c>
    </row>
    <row r="81" spans="6:6" hidden="1"/>
    <row r="82" spans="6:6" hidden="1"/>
    <row r="83" spans="6:6" hidden="1">
      <c r="F83" s="740">
        <f ca="1">MAX(F76:F82)+RANDBETWEEN(0,1)</f>
        <v>27</v>
      </c>
    </row>
    <row r="84" spans="6:6" hidden="1"/>
    <row r="85" spans="6:6" hidden="1">
      <c r="F85" s="739">
        <f ca="1">MAX(F76:F84)+RANDBETWEEN(0,1)</f>
        <v>28</v>
      </c>
    </row>
    <row r="86" spans="6:6" hidden="1">
      <c r="F86" s="739">
        <f ca="1">MAX(F76:F85)+RANDBETWEEN(0,1)</f>
        <v>29</v>
      </c>
    </row>
    <row r="87" spans="6:6" hidden="1"/>
    <row r="88" spans="6:6" hidden="1"/>
    <row r="89" spans="6:6" hidden="1"/>
    <row r="90" spans="6:6" hidden="1"/>
    <row r="91" spans="6:6" hidden="1"/>
    <row r="92" spans="6:6" hidden="1"/>
  </sheetData>
  <sheetProtection algorithmName="SHA-512" hashValue="Nhras3ZnDo24pPmTSsko4soKe45oEEOyYLOYteyJ+P8Qp/I//XQG2oKi6NoQ/HGCMdXRI37jHjDBtdSkeL/92Q==" saltValue="a1+kRaBNWBLi81YyAFY87A==" spinCount="100000" sheet="1" objects="1" sort="0" autoFilter="0" pivotTables="0"/>
  <mergeCells count="3">
    <mergeCell ref="B8:E8"/>
    <mergeCell ref="B6:E6"/>
    <mergeCell ref="B4:E4"/>
  </mergeCells>
  <pageMargins left="0.51181102362204722" right="0.51181102362204722" top="0.39370078740157483" bottom="0.51181102362204722" header="0.31496062992125984" footer="0.31496062992125984"/>
  <pageSetup paperSize="9" scale="80" fitToWidth="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42"/>
  <sheetViews>
    <sheetView showGridLines="0" zoomScale="80" zoomScaleNormal="80" workbookViewId="0"/>
  </sheetViews>
  <sheetFormatPr defaultColWidth="0" defaultRowHeight="12.75" zeroHeight="1"/>
  <cols>
    <col min="1" max="1" width="2.21875" style="5" customWidth="1"/>
    <col min="2" max="2" width="2.77734375" style="5" customWidth="1"/>
    <col min="3" max="17" width="8.88671875" style="5" customWidth="1"/>
    <col min="18" max="18" width="2.33203125" style="5" customWidth="1"/>
    <col min="19" max="16384" width="8.88671875" style="5" hidden="1"/>
  </cols>
  <sheetData>
    <row r="1" spans="2:17"/>
    <row r="2" spans="2:17" ht="33.75">
      <c r="B2" s="742" t="s">
        <v>1024</v>
      </c>
    </row>
    <row r="3" spans="2:17" ht="23.25">
      <c r="B3" s="172" t="s">
        <v>1025</v>
      </c>
    </row>
    <row r="4" spans="2:17">
      <c r="B4" s="152"/>
    </row>
    <row r="5" spans="2:17" ht="18">
      <c r="B5" s="888" t="str">
        <f>Voor!B4</f>
        <v>Mei 2017</v>
      </c>
    </row>
    <row r="6" spans="2:17"/>
    <row r="7" spans="2:17" s="105" customFormat="1" ht="13.5"/>
    <row r="8" spans="2:17" s="163" customFormat="1" ht="30" customHeight="1">
      <c r="B8" s="306" t="s">
        <v>366</v>
      </c>
      <c r="C8" s="307"/>
      <c r="D8" s="307"/>
      <c r="E8" s="307"/>
      <c r="F8" s="307"/>
      <c r="G8" s="307"/>
      <c r="H8" s="307"/>
      <c r="I8" s="307"/>
      <c r="J8" s="307"/>
      <c r="K8" s="307"/>
      <c r="L8" s="307"/>
      <c r="M8" s="307"/>
      <c r="N8" s="307"/>
      <c r="O8" s="308"/>
      <c r="P8" s="308"/>
      <c r="Q8" s="309"/>
    </row>
    <row r="9" spans="2:17" s="105" customFormat="1" ht="13.5">
      <c r="B9" s="152"/>
    </row>
    <row r="10" spans="2:17" s="105" customFormat="1" ht="13.5">
      <c r="B10" s="152"/>
    </row>
    <row r="11" spans="2:17" s="105" customFormat="1" ht="13.5">
      <c r="B11" s="77" t="s">
        <v>560</v>
      </c>
    </row>
    <row r="12" spans="2:17" s="105" customFormat="1" ht="13.5">
      <c r="B12" s="77" t="s">
        <v>561</v>
      </c>
    </row>
    <row r="13" spans="2:17" s="105" customFormat="1" ht="13.5">
      <c r="B13" s="152"/>
    </row>
    <row r="14" spans="2:17" s="173" customFormat="1">
      <c r="B14" s="173" t="s">
        <v>373</v>
      </c>
    </row>
    <row r="15" spans="2:17" s="173" customFormat="1"/>
    <row r="16" spans="2:17" s="173" customFormat="1">
      <c r="B16" s="173" t="s">
        <v>240</v>
      </c>
    </row>
    <row r="17" spans="2:3" s="173" customFormat="1"/>
    <row r="18" spans="2:3" s="173" customFormat="1">
      <c r="B18" s="173" t="s">
        <v>374</v>
      </c>
    </row>
    <row r="19" spans="2:3" s="173" customFormat="1">
      <c r="B19" s="173" t="s">
        <v>383</v>
      </c>
    </row>
    <row r="20" spans="2:3" s="173" customFormat="1">
      <c r="B20" s="173" t="s">
        <v>375</v>
      </c>
    </row>
    <row r="21" spans="2:3" s="173" customFormat="1"/>
    <row r="22" spans="2:3" s="173" customFormat="1">
      <c r="B22" s="173" t="s">
        <v>143</v>
      </c>
    </row>
    <row r="23" spans="2:3" s="173" customFormat="1"/>
    <row r="24" spans="2:3" s="173" customFormat="1">
      <c r="B24" s="173" t="s">
        <v>481</v>
      </c>
    </row>
    <row r="25" spans="2:3" s="173" customFormat="1"/>
    <row r="26" spans="2:3" s="173" customFormat="1">
      <c r="B26" s="173" t="s">
        <v>376</v>
      </c>
    </row>
    <row r="27" spans="2:3" s="173" customFormat="1"/>
    <row r="28" spans="2:3" s="173" customFormat="1">
      <c r="C28" s="173" t="s">
        <v>445</v>
      </c>
    </row>
    <row r="29" spans="2:3" s="173" customFormat="1">
      <c r="C29" s="173" t="s">
        <v>377</v>
      </c>
    </row>
    <row r="30" spans="2:3" s="173" customFormat="1">
      <c r="C30" s="173" t="s">
        <v>378</v>
      </c>
    </row>
    <row r="31" spans="2:3" s="173" customFormat="1">
      <c r="C31" s="173" t="s">
        <v>379</v>
      </c>
    </row>
    <row r="32" spans="2:3" s="173" customFormat="1">
      <c r="C32" s="173" t="s">
        <v>380</v>
      </c>
    </row>
    <row r="33" spans="2:17" s="173" customFormat="1">
      <c r="C33" s="173" t="s">
        <v>381</v>
      </c>
    </row>
    <row r="34" spans="2:17" s="173" customFormat="1"/>
    <row r="35" spans="2:17" s="173" customFormat="1">
      <c r="B35" s="173" t="s">
        <v>382</v>
      </c>
    </row>
    <row r="36" spans="2:17" s="173" customFormat="1"/>
    <row r="37" spans="2:17"/>
    <row r="38" spans="2:17" hidden="1"/>
    <row r="39" spans="2:17" s="173" customFormat="1" hidden="1">
      <c r="B39" s="311"/>
      <c r="C39" s="311"/>
      <c r="D39" s="311"/>
      <c r="E39" s="311"/>
      <c r="F39" s="311"/>
      <c r="G39" s="311"/>
      <c r="H39" s="311"/>
      <c r="I39" s="311"/>
      <c r="J39" s="311"/>
      <c r="K39" s="311"/>
      <c r="L39" s="311"/>
      <c r="M39" s="311"/>
      <c r="N39" s="311"/>
      <c r="O39" s="311"/>
      <c r="P39" s="311"/>
      <c r="Q39" s="311"/>
    </row>
    <row r="40" spans="2:17" s="173" customFormat="1" hidden="1">
      <c r="B40" s="311"/>
      <c r="C40" s="311"/>
      <c r="D40" s="311"/>
      <c r="E40" s="311"/>
      <c r="F40" s="311"/>
      <c r="G40" s="311"/>
      <c r="H40" s="311"/>
      <c r="I40" s="311"/>
      <c r="J40" s="311"/>
      <c r="K40" s="311"/>
      <c r="L40" s="311"/>
      <c r="M40" s="311"/>
      <c r="N40" s="311"/>
      <c r="O40" s="311"/>
      <c r="P40" s="311"/>
      <c r="Q40" s="311"/>
    </row>
    <row r="41" spans="2:17" s="105" customFormat="1" ht="13.5" hidden="1">
      <c r="B41" s="152"/>
    </row>
    <row r="42" spans="2:17"/>
  </sheetData>
  <sheetProtection algorithmName="SHA-512" hashValue="lUS4pYQ76z/KZn1rzj9JcCbsfLtqS4d2tsWvFntAZyJ2Sno7ViN8dp8Vd/aPWL33YBbbEfYeQ7F+BjdzdlsRWA==" saltValue="2f6mNYdaFkZbdlbNAMfdQQ==" spinCount="100000" sheet="1" objects="1" sort="0" autoFilter="0" pivotTables="0"/>
  <pageMargins left="0.51181102362204722" right="0.51181102362204722" top="0.39370078740157483" bottom="0.51181102362204722" header="0.31496062992125984" footer="0.31496062992125984"/>
  <pageSetup paperSize="9"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499984740745262"/>
  </sheetPr>
  <dimension ref="A1:Z223"/>
  <sheetViews>
    <sheetView showGridLines="0" zoomScale="84" zoomScaleNormal="84" workbookViewId="0"/>
  </sheetViews>
  <sheetFormatPr defaultColWidth="0" defaultRowHeight="12.75" zeroHeight="1"/>
  <cols>
    <col min="1" max="1" width="2.21875" style="158" customWidth="1"/>
    <col min="2" max="2" width="2.77734375" style="158" customWidth="1"/>
    <col min="3" max="10" width="8.88671875" style="158" customWidth="1"/>
    <col min="11" max="11" width="9.44140625" style="158" bestFit="1" customWidth="1"/>
    <col min="12" max="12" width="8.88671875" style="158" customWidth="1"/>
    <col min="13" max="13" width="9.44140625" style="158" bestFit="1" customWidth="1"/>
    <col min="14" max="17" width="8.88671875" style="158" customWidth="1"/>
    <col min="18" max="18" width="2.77734375" style="452" customWidth="1"/>
    <col min="19" max="19" width="0" style="516" hidden="1" customWidth="1"/>
    <col min="20" max="26" width="0" style="158" hidden="1" customWidth="1"/>
    <col min="27" max="16384" width="8.88671875" style="158" hidden="1"/>
  </cols>
  <sheetData>
    <row r="1" spans="2:18"/>
    <row r="2" spans="2:18" ht="30" customHeight="1" thickBot="1">
      <c r="B2" s="323" t="s">
        <v>352</v>
      </c>
      <c r="C2" s="326"/>
      <c r="D2" s="326"/>
      <c r="E2" s="326"/>
      <c r="F2" s="326"/>
      <c r="G2" s="326"/>
      <c r="H2" s="326"/>
      <c r="I2" s="326"/>
      <c r="J2" s="326"/>
      <c r="K2" s="326"/>
      <c r="L2" s="326"/>
      <c r="M2" s="326"/>
      <c r="N2" s="326"/>
      <c r="O2" s="327"/>
      <c r="P2" s="327"/>
      <c r="Q2" s="328"/>
      <c r="R2" s="509"/>
    </row>
    <row r="3" spans="2:18"/>
    <row r="4" spans="2:18" ht="22.5" customHeight="1" thickBot="1">
      <c r="B4" s="300" t="s">
        <v>552</v>
      </c>
      <c r="C4" s="301"/>
      <c r="D4" s="301"/>
      <c r="E4" s="301"/>
      <c r="F4" s="301"/>
      <c r="G4" s="301"/>
      <c r="H4" s="301"/>
      <c r="I4" s="301"/>
      <c r="J4" s="301"/>
      <c r="K4" s="301"/>
      <c r="L4" s="301"/>
      <c r="M4" s="301"/>
      <c r="N4" s="301"/>
      <c r="O4" s="301"/>
      <c r="P4" s="301"/>
      <c r="Q4" s="293"/>
      <c r="R4" s="460"/>
    </row>
    <row r="5" spans="2:18"/>
    <row r="6" spans="2:18">
      <c r="B6" s="458">
        <v>1</v>
      </c>
      <c r="C6" s="459" t="s">
        <v>614</v>
      </c>
      <c r="D6" s="460"/>
      <c r="E6" s="460"/>
      <c r="F6" s="460"/>
      <c r="G6" s="460"/>
      <c r="H6" s="460"/>
      <c r="I6" s="460"/>
      <c r="J6" s="460"/>
      <c r="K6" s="460"/>
      <c r="L6" s="460"/>
      <c r="M6" s="460"/>
      <c r="N6" s="460"/>
      <c r="O6" s="460"/>
    </row>
    <row r="7" spans="2:18">
      <c r="K7" s="460"/>
      <c r="L7" s="460"/>
      <c r="M7" s="460"/>
      <c r="N7" s="460"/>
      <c r="O7" s="460"/>
    </row>
    <row r="8" spans="2:18">
      <c r="B8" s="458">
        <f>MAX($B$2:B7)+1</f>
        <v>2</v>
      </c>
      <c r="C8" s="552" t="s">
        <v>1029</v>
      </c>
      <c r="K8" s="460"/>
      <c r="L8" s="460"/>
      <c r="M8" s="460"/>
      <c r="N8" s="460"/>
      <c r="O8" s="460"/>
    </row>
    <row r="9" spans="2:18">
      <c r="B9" s="458"/>
      <c r="C9" s="552"/>
      <c r="K9" s="460"/>
      <c r="L9" s="460"/>
      <c r="M9" s="460"/>
      <c r="N9" s="460"/>
      <c r="O9" s="460"/>
    </row>
    <row r="10" spans="2:18">
      <c r="B10" s="458">
        <f>MAX($B$2:B8)+1</f>
        <v>3</v>
      </c>
      <c r="C10" s="552" t="s">
        <v>383</v>
      </c>
      <c r="K10" s="460"/>
      <c r="L10" s="460"/>
      <c r="M10" s="460"/>
      <c r="N10" s="460"/>
      <c r="O10" s="460"/>
    </row>
    <row r="11" spans="2:18">
      <c r="B11" s="458"/>
      <c r="C11" s="552"/>
      <c r="K11" s="460"/>
      <c r="L11" s="460"/>
      <c r="M11" s="460"/>
      <c r="N11" s="460"/>
      <c r="O11" s="460"/>
    </row>
    <row r="12" spans="2:18">
      <c r="B12" s="458">
        <f>MAX($B$2:B10)+1</f>
        <v>4</v>
      </c>
      <c r="C12" s="552" t="s">
        <v>1030</v>
      </c>
      <c r="K12" s="460"/>
      <c r="L12" s="460"/>
      <c r="M12" s="460"/>
      <c r="N12" s="460"/>
      <c r="O12" s="460"/>
    </row>
    <row r="13" spans="2:18">
      <c r="C13" s="222"/>
      <c r="K13" s="460"/>
      <c r="L13" s="460"/>
      <c r="M13" s="460"/>
      <c r="N13" s="460"/>
      <c r="O13" s="460"/>
    </row>
    <row r="14" spans="2:18">
      <c r="B14" s="458">
        <f>MAX($B$2:B13)+1</f>
        <v>5</v>
      </c>
      <c r="C14" s="222" t="s">
        <v>608</v>
      </c>
      <c r="K14" s="460"/>
      <c r="L14" s="460"/>
      <c r="M14" s="460"/>
      <c r="N14" s="460"/>
      <c r="O14" s="460"/>
    </row>
    <row r="15" spans="2:18">
      <c r="C15" s="222"/>
      <c r="K15" s="460"/>
      <c r="L15" s="460"/>
      <c r="M15" s="460"/>
      <c r="N15" s="460"/>
      <c r="O15" s="460"/>
    </row>
    <row r="16" spans="2:18">
      <c r="B16" s="458">
        <f>MAX($B$2:B15)+1</f>
        <v>6</v>
      </c>
      <c r="C16" s="222" t="s">
        <v>989</v>
      </c>
      <c r="K16" s="460"/>
      <c r="L16" s="460"/>
      <c r="M16" s="460"/>
      <c r="N16" s="460"/>
      <c r="O16" s="460"/>
    </row>
    <row r="17" spans="2:15">
      <c r="K17" s="460"/>
      <c r="L17" s="460"/>
      <c r="M17" s="460"/>
      <c r="N17" s="460"/>
      <c r="O17" s="460"/>
    </row>
    <row r="18" spans="2:15">
      <c r="B18" s="458">
        <f>MAX($B$2:B17)+1</f>
        <v>7</v>
      </c>
      <c r="C18" s="222" t="s">
        <v>889</v>
      </c>
      <c r="K18" s="460"/>
      <c r="L18" s="460"/>
      <c r="M18" s="460"/>
      <c r="N18" s="460"/>
      <c r="O18" s="460"/>
    </row>
    <row r="19" spans="2:15">
      <c r="K19" s="460"/>
      <c r="L19" s="460"/>
      <c r="M19" s="460"/>
      <c r="N19" s="460"/>
      <c r="O19" s="460"/>
    </row>
    <row r="20" spans="2:15">
      <c r="B20" s="458">
        <f>MAX($B$2:B19)+1</f>
        <v>8</v>
      </c>
      <c r="C20" s="222" t="s">
        <v>890</v>
      </c>
      <c r="K20" s="460"/>
      <c r="L20" s="460"/>
      <c r="M20" s="460"/>
      <c r="N20" s="460"/>
      <c r="O20" s="460"/>
    </row>
    <row r="21" spans="2:15">
      <c r="K21" s="460"/>
      <c r="L21" s="460"/>
      <c r="M21" s="460"/>
      <c r="N21" s="460"/>
      <c r="O21" s="460"/>
    </row>
    <row r="22" spans="2:15">
      <c r="B22" s="458">
        <f>MAX($B$2:B21)+1</f>
        <v>9</v>
      </c>
      <c r="C22" s="222" t="s">
        <v>522</v>
      </c>
      <c r="K22" s="460"/>
      <c r="L22" s="460"/>
      <c r="M22" s="460"/>
      <c r="N22" s="460"/>
      <c r="O22" s="460"/>
    </row>
    <row r="23" spans="2:15">
      <c r="C23" s="165" t="s">
        <v>124</v>
      </c>
      <c r="E23" s="322">
        <v>0.74569987158227002</v>
      </c>
      <c r="F23" s="165" t="s">
        <v>510</v>
      </c>
      <c r="G23" s="165" t="s">
        <v>507</v>
      </c>
      <c r="H23" s="462">
        <f>1/kWperPK</f>
        <v>1.3410220895950282</v>
      </c>
      <c r="I23" s="222" t="s">
        <v>47</v>
      </c>
      <c r="K23" s="460"/>
      <c r="L23" s="460"/>
      <c r="M23" s="460"/>
      <c r="N23" s="460"/>
      <c r="O23" s="460"/>
    </row>
    <row r="24" spans="2:15">
      <c r="C24" s="165" t="s">
        <v>126</v>
      </c>
      <c r="E24" s="322">
        <v>0.30480000000000002</v>
      </c>
      <c r="F24" s="165" t="s">
        <v>27</v>
      </c>
      <c r="G24" s="165" t="s">
        <v>508</v>
      </c>
      <c r="H24" s="462">
        <f>1/MeterPerVoet</f>
        <v>3.280839895013123</v>
      </c>
      <c r="I24" s="222" t="s">
        <v>509</v>
      </c>
      <c r="K24" s="460"/>
      <c r="L24" s="460"/>
      <c r="M24" s="460"/>
      <c r="N24" s="460"/>
      <c r="O24" s="460"/>
    </row>
    <row r="25" spans="2:15">
      <c r="C25" s="165" t="s">
        <v>545</v>
      </c>
      <c r="D25" s="166"/>
      <c r="E25" s="165" t="s">
        <v>358</v>
      </c>
      <c r="F25" s="165"/>
      <c r="K25" s="460"/>
      <c r="L25" s="460"/>
      <c r="M25" s="460"/>
      <c r="N25" s="460"/>
      <c r="O25" s="460"/>
    </row>
    <row r="26" spans="2:15">
      <c r="B26" s="463"/>
      <c r="C26" s="165" t="s">
        <v>360</v>
      </c>
      <c r="D26" s="166"/>
      <c r="E26" s="165" t="s">
        <v>546</v>
      </c>
      <c r="F26" s="165"/>
      <c r="H26" s="464"/>
      <c r="I26" s="222"/>
      <c r="K26" s="460"/>
      <c r="L26" s="460"/>
      <c r="M26" s="460"/>
      <c r="N26" s="460"/>
      <c r="O26" s="460"/>
    </row>
    <row r="27" spans="2:15">
      <c r="B27" s="458"/>
      <c r="C27" s="164"/>
      <c r="D27" s="166"/>
      <c r="E27" s="165"/>
      <c r="F27" s="165"/>
      <c r="K27" s="460"/>
      <c r="L27" s="460"/>
      <c r="M27" s="460"/>
      <c r="N27" s="460"/>
      <c r="O27" s="460"/>
    </row>
    <row r="28" spans="2:15">
      <c r="B28" s="458"/>
      <c r="C28" s="222" t="s">
        <v>521</v>
      </c>
      <c r="K28" s="460"/>
      <c r="L28" s="460"/>
      <c r="M28" s="460"/>
      <c r="N28" s="460"/>
      <c r="O28" s="460"/>
    </row>
    <row r="29" spans="2:15">
      <c r="B29" s="458"/>
      <c r="C29" s="165" t="s">
        <v>359</v>
      </c>
      <c r="D29" s="465">
        <v>1.2</v>
      </c>
      <c r="E29" s="222" t="s">
        <v>511</v>
      </c>
      <c r="I29" s="211">
        <f>PI()*D29</f>
        <v>3.7699111843077517</v>
      </c>
      <c r="J29" s="222" t="s">
        <v>27</v>
      </c>
      <c r="K29" s="460"/>
      <c r="L29" s="460"/>
      <c r="M29" s="460"/>
      <c r="N29" s="460"/>
      <c r="O29" s="460"/>
    </row>
    <row r="30" spans="2:15">
      <c r="B30" s="458"/>
      <c r="C30" s="460"/>
      <c r="D30" s="460"/>
      <c r="E30" s="460"/>
      <c r="F30" s="460"/>
      <c r="G30" s="460"/>
      <c r="H30" s="460"/>
      <c r="I30" s="460"/>
      <c r="J30" s="460"/>
      <c r="K30" s="460"/>
      <c r="L30" s="460"/>
      <c r="M30" s="460"/>
      <c r="N30" s="460"/>
      <c r="O30" s="460"/>
    </row>
    <row r="31" spans="2:15">
      <c r="B31" s="458">
        <f>MAX($B$2:B30)+1</f>
        <v>10</v>
      </c>
      <c r="C31" s="459" t="s">
        <v>556</v>
      </c>
      <c r="D31" s="460"/>
      <c r="E31" s="460"/>
      <c r="F31" s="460"/>
      <c r="G31" s="460"/>
      <c r="H31" s="460"/>
      <c r="I31" s="460"/>
      <c r="J31" s="460"/>
      <c r="K31" s="460"/>
      <c r="L31" s="460"/>
      <c r="M31" s="460"/>
      <c r="N31" s="460"/>
      <c r="O31" s="460"/>
    </row>
    <row r="32" spans="2:15">
      <c r="B32" s="458"/>
      <c r="C32" s="459" t="s">
        <v>516</v>
      </c>
      <c r="F32" s="460"/>
      <c r="G32" s="460" t="s">
        <v>446</v>
      </c>
      <c r="H32" s="460"/>
      <c r="I32" s="460"/>
      <c r="J32" s="460"/>
      <c r="K32" s="460"/>
      <c r="L32" s="460"/>
      <c r="M32" s="460"/>
      <c r="N32" s="460"/>
      <c r="O32" s="460"/>
    </row>
    <row r="33" spans="2:18">
      <c r="B33" s="458"/>
      <c r="C33" s="459" t="s">
        <v>528</v>
      </c>
      <c r="F33" s="460"/>
      <c r="G33" s="460" t="s">
        <v>447</v>
      </c>
      <c r="H33" s="460"/>
      <c r="I33" s="460"/>
      <c r="J33" s="460"/>
      <c r="K33" s="460"/>
      <c r="L33" s="460"/>
      <c r="M33" s="460"/>
      <c r="N33" s="460"/>
      <c r="O33" s="460"/>
    </row>
    <row r="34" spans="2:18">
      <c r="B34" s="458"/>
      <c r="C34" s="459" t="s">
        <v>517</v>
      </c>
      <c r="F34" s="460"/>
      <c r="G34" s="460" t="s">
        <v>97</v>
      </c>
      <c r="H34" s="460"/>
      <c r="I34" s="460"/>
      <c r="J34" s="460"/>
      <c r="K34" s="460"/>
      <c r="L34" s="460"/>
      <c r="M34" s="460"/>
      <c r="N34" s="460"/>
      <c r="O34" s="460"/>
    </row>
    <row r="35" spans="2:18">
      <c r="B35" s="458"/>
      <c r="C35" s="459" t="s">
        <v>525</v>
      </c>
      <c r="F35" s="460"/>
      <c r="G35" s="460" t="s">
        <v>98</v>
      </c>
      <c r="H35" s="460"/>
      <c r="I35" s="460"/>
      <c r="J35" s="460"/>
      <c r="K35" s="460"/>
      <c r="L35" s="460"/>
      <c r="M35" s="460"/>
      <c r="N35" s="460"/>
      <c r="O35" s="460"/>
    </row>
    <row r="36" spans="2:18">
      <c r="B36" s="458"/>
      <c r="C36" s="459" t="s">
        <v>526</v>
      </c>
      <c r="F36" s="460"/>
      <c r="G36" s="460" t="s">
        <v>98</v>
      </c>
      <c r="H36" s="460"/>
      <c r="I36" s="460"/>
      <c r="J36" s="460"/>
      <c r="K36" s="460"/>
      <c r="L36" s="460"/>
      <c r="M36" s="460"/>
      <c r="N36" s="460"/>
      <c r="O36" s="460"/>
    </row>
    <row r="37" spans="2:18">
      <c r="B37" s="458"/>
      <c r="C37" s="459" t="s">
        <v>600</v>
      </c>
      <c r="F37" s="460"/>
      <c r="G37" s="460" t="s">
        <v>99</v>
      </c>
      <c r="H37" s="460"/>
      <c r="I37" s="460"/>
      <c r="J37" s="460"/>
      <c r="K37" s="460"/>
      <c r="L37" s="460"/>
      <c r="M37" s="460"/>
      <c r="N37" s="460"/>
      <c r="O37" s="460"/>
    </row>
    <row r="38" spans="2:18">
      <c r="B38" s="458"/>
      <c r="C38" s="459" t="s">
        <v>529</v>
      </c>
      <c r="F38" s="460"/>
      <c r="G38" s="460" t="s">
        <v>448</v>
      </c>
      <c r="H38" s="460"/>
      <c r="I38" s="460"/>
      <c r="J38" s="460"/>
      <c r="K38" s="460"/>
      <c r="L38" s="460"/>
      <c r="M38" s="460"/>
      <c r="N38" s="460"/>
      <c r="O38" s="460"/>
    </row>
    <row r="39" spans="2:18">
      <c r="B39" s="458"/>
      <c r="C39" s="459" t="s">
        <v>520</v>
      </c>
      <c r="F39" s="460"/>
      <c r="G39" s="459" t="s">
        <v>606</v>
      </c>
      <c r="H39" s="460"/>
      <c r="I39" s="460"/>
      <c r="J39" s="460"/>
      <c r="K39" s="460"/>
      <c r="L39" s="460"/>
      <c r="M39" s="460"/>
      <c r="N39" s="460"/>
      <c r="O39" s="460"/>
    </row>
    <row r="40" spans="2:18">
      <c r="B40" s="458"/>
      <c r="C40" s="459" t="s">
        <v>518</v>
      </c>
      <c r="F40" s="460"/>
      <c r="G40" s="460" t="s">
        <v>156</v>
      </c>
      <c r="H40" s="460"/>
      <c r="I40" s="460"/>
      <c r="J40" s="460"/>
      <c r="K40" s="460"/>
      <c r="L40" s="460"/>
      <c r="M40" s="460"/>
      <c r="N40" s="460"/>
      <c r="O40" s="460"/>
    </row>
    <row r="41" spans="2:18">
      <c r="B41" s="458"/>
      <c r="C41" s="459" t="s">
        <v>519</v>
      </c>
      <c r="F41" s="460"/>
      <c r="G41" s="459" t="s">
        <v>615</v>
      </c>
      <c r="H41" s="460"/>
      <c r="I41" s="460"/>
      <c r="J41" s="460"/>
      <c r="K41" s="460"/>
      <c r="L41" s="460"/>
      <c r="M41" s="460"/>
      <c r="N41" s="460"/>
      <c r="O41" s="460"/>
    </row>
    <row r="42" spans="2:18">
      <c r="B42" s="458"/>
      <c r="C42" s="460"/>
      <c r="D42" s="460"/>
      <c r="E42" s="460"/>
      <c r="F42" s="460"/>
      <c r="G42" s="460"/>
      <c r="H42" s="460"/>
      <c r="I42" s="460"/>
      <c r="J42" s="460"/>
      <c r="K42" s="460"/>
      <c r="L42" s="460"/>
      <c r="M42" s="460"/>
      <c r="N42" s="460"/>
      <c r="O42" s="460"/>
    </row>
    <row r="43" spans="2:18" ht="22.5" customHeight="1" thickBot="1">
      <c r="B43" s="300" t="s">
        <v>945</v>
      </c>
      <c r="C43" s="301"/>
      <c r="D43" s="301"/>
      <c r="E43" s="301"/>
      <c r="F43" s="301"/>
      <c r="G43" s="301"/>
      <c r="H43" s="301"/>
      <c r="I43" s="301"/>
      <c r="J43" s="301"/>
      <c r="K43" s="301"/>
      <c r="L43" s="301"/>
      <c r="M43" s="301"/>
      <c r="N43" s="301"/>
      <c r="O43" s="301"/>
      <c r="P43" s="301"/>
      <c r="Q43" s="293"/>
      <c r="R43" s="460"/>
    </row>
    <row r="44" spans="2:18"/>
    <row r="45" spans="2:18">
      <c r="B45" s="222" t="s">
        <v>946</v>
      </c>
    </row>
    <row r="46" spans="2:18"/>
    <row r="47" spans="2:18">
      <c r="C47" s="222" t="s">
        <v>947</v>
      </c>
      <c r="D47" s="886">
        <v>7.0000000000000007E-2</v>
      </c>
      <c r="F47" s="222" t="s">
        <v>949</v>
      </c>
      <c r="H47" s="942">
        <v>12.766500000000001</v>
      </c>
      <c r="I47" s="222" t="s">
        <v>954</v>
      </c>
      <c r="K47" s="507" t="s">
        <v>1192</v>
      </c>
      <c r="L47" s="886">
        <v>6.6000000000000003E-2</v>
      </c>
      <c r="N47" s="222" t="s">
        <v>956</v>
      </c>
      <c r="O47" s="887">
        <v>42814</v>
      </c>
    </row>
    <row r="48" spans="2:18">
      <c r="C48" s="222" t="s">
        <v>948</v>
      </c>
      <c r="D48" s="886">
        <v>0.105</v>
      </c>
      <c r="F48" s="222" t="s">
        <v>950</v>
      </c>
      <c r="H48" s="942">
        <v>15.771000000000001</v>
      </c>
      <c r="I48" s="222" t="s">
        <v>952</v>
      </c>
      <c r="K48" s="507" t="s">
        <v>955</v>
      </c>
      <c r="L48" s="886">
        <v>5.8999999999999997E-2</v>
      </c>
      <c r="N48" s="222" t="s">
        <v>957</v>
      </c>
      <c r="O48" s="222" t="s">
        <v>958</v>
      </c>
    </row>
    <row r="49" spans="2:26">
      <c r="F49" s="222" t="s">
        <v>951</v>
      </c>
      <c r="H49" s="942">
        <v>13.748799999999999</v>
      </c>
      <c r="I49" s="222" t="s">
        <v>953</v>
      </c>
    </row>
    <row r="50" spans="2:26"/>
    <row r="51" spans="2:26" ht="22.5" hidden="1" customHeight="1" thickBot="1">
      <c r="B51" s="300" t="s">
        <v>555</v>
      </c>
      <c r="C51" s="301"/>
      <c r="D51" s="301"/>
      <c r="E51" s="301"/>
      <c r="F51" s="301"/>
      <c r="G51" s="301"/>
      <c r="H51" s="301"/>
      <c r="I51" s="301"/>
      <c r="J51" s="301"/>
      <c r="K51" s="301"/>
      <c r="L51" s="301"/>
      <c r="M51" s="301"/>
      <c r="N51" s="301"/>
      <c r="O51" s="301"/>
      <c r="P51" s="301"/>
      <c r="Q51" s="293"/>
      <c r="R51" s="460"/>
    </row>
    <row r="52" spans="2:26" hidden="1"/>
    <row r="53" spans="2:26" hidden="1">
      <c r="B53" s="466" t="s">
        <v>553</v>
      </c>
      <c r="C53" s="460"/>
      <c r="D53" s="460"/>
      <c r="E53" s="460"/>
      <c r="F53" s="460"/>
      <c r="G53" s="460"/>
      <c r="H53" s="460"/>
      <c r="I53" s="460"/>
      <c r="J53" s="460"/>
      <c r="K53" s="460"/>
      <c r="L53" s="460"/>
      <c r="M53" s="460"/>
      <c r="N53" s="460"/>
      <c r="O53" s="460"/>
    </row>
    <row r="54" spans="2:26" hidden="1">
      <c r="B54" s="458"/>
      <c r="C54" s="460"/>
      <c r="D54" s="460"/>
      <c r="E54" s="460"/>
      <c r="F54" s="460"/>
      <c r="G54" s="460"/>
      <c r="H54" s="460"/>
      <c r="I54" s="460"/>
      <c r="J54" s="460"/>
      <c r="K54" s="460"/>
      <c r="L54" s="460"/>
      <c r="M54" s="460"/>
      <c r="N54" s="460"/>
      <c r="O54" s="460"/>
    </row>
    <row r="55" spans="2:26" hidden="1">
      <c r="B55" s="458">
        <f>MAX($B$53:B54)+1</f>
        <v>1</v>
      </c>
      <c r="C55" s="460" t="s">
        <v>58</v>
      </c>
      <c r="D55" s="460"/>
      <c r="E55" s="460"/>
      <c r="F55" s="846">
        <v>10</v>
      </c>
      <c r="G55" s="460" t="s">
        <v>97</v>
      </c>
      <c r="I55" s="460"/>
      <c r="J55" s="460"/>
      <c r="K55" s="460"/>
      <c r="L55" s="460"/>
      <c r="M55" s="460"/>
      <c r="N55" s="460"/>
      <c r="O55" s="460"/>
    </row>
    <row r="56" spans="2:26" hidden="1">
      <c r="B56" s="458">
        <f>MAX($B$53:B55)+1</f>
        <v>2</v>
      </c>
      <c r="C56" s="460" t="s">
        <v>525</v>
      </c>
      <c r="D56" s="460"/>
      <c r="E56" s="460"/>
      <c r="F56" s="846">
        <f>$D$48*100</f>
        <v>10.5</v>
      </c>
      <c r="G56" s="460" t="s">
        <v>98</v>
      </c>
      <c r="I56" s="460"/>
      <c r="J56" s="460"/>
      <c r="K56" s="460"/>
      <c r="L56" s="460"/>
      <c r="M56" s="460"/>
      <c r="N56" s="460"/>
      <c r="O56" s="460"/>
      <c r="S56" s="517"/>
    </row>
    <row r="57" spans="2:26" hidden="1">
      <c r="B57" s="458"/>
      <c r="C57" s="460"/>
      <c r="D57" s="460"/>
      <c r="E57" s="460"/>
      <c r="F57" s="460"/>
      <c r="G57" s="460"/>
      <c r="I57" s="460"/>
      <c r="J57" s="460"/>
      <c r="K57" s="460"/>
      <c r="L57" s="460"/>
      <c r="M57" s="460"/>
      <c r="N57" s="460"/>
      <c r="O57" s="460"/>
    </row>
    <row r="58" spans="2:26" hidden="1">
      <c r="B58" s="458">
        <f>MAX($B$53:B57)+1</f>
        <v>3</v>
      </c>
      <c r="C58" s="459" t="s">
        <v>386</v>
      </c>
      <c r="D58" s="460"/>
      <c r="E58" s="460"/>
      <c r="F58" s="854">
        <f>Diesel.Handel</f>
        <v>12.3</v>
      </c>
      <c r="G58" s="459" t="s">
        <v>57</v>
      </c>
      <c r="H58" s="222" t="s">
        <v>616</v>
      </c>
    </row>
    <row r="59" spans="2:26" hidden="1">
      <c r="B59" s="458"/>
      <c r="C59" s="460"/>
      <c r="D59" s="460"/>
      <c r="E59" s="460"/>
      <c r="H59" s="460"/>
      <c r="K59" s="222" t="s">
        <v>1497</v>
      </c>
    </row>
    <row r="60" spans="2:26" hidden="1">
      <c r="D60" s="459" t="s">
        <v>896</v>
      </c>
      <c r="F60" s="854">
        <v>12.3</v>
      </c>
      <c r="G60" s="467" t="s">
        <v>57</v>
      </c>
      <c r="I60" s="460"/>
      <c r="J60" s="460"/>
      <c r="K60" s="222" t="s">
        <v>1496</v>
      </c>
    </row>
    <row r="61" spans="2:26" hidden="1">
      <c r="C61" s="859"/>
      <c r="D61" s="860" t="s">
        <v>71</v>
      </c>
      <c r="E61" s="859"/>
      <c r="F61" s="858">
        <v>290</v>
      </c>
      <c r="G61" s="459" t="s">
        <v>959</v>
      </c>
      <c r="H61" s="460"/>
      <c r="I61" s="773">
        <f>F61*0.8</f>
        <v>232</v>
      </c>
      <c r="J61" s="459" t="s">
        <v>891</v>
      </c>
      <c r="K61" s="222" t="s">
        <v>1199</v>
      </c>
    </row>
    <row r="62" spans="2:26" hidden="1">
      <c r="D62" s="460" t="s">
        <v>235</v>
      </c>
      <c r="F62" s="854">
        <f>F60-I61/100</f>
        <v>9.98</v>
      </c>
      <c r="G62" s="222" t="s">
        <v>57</v>
      </c>
      <c r="H62" s="460"/>
      <c r="I62" s="460"/>
      <c r="J62" s="460"/>
      <c r="K62" s="459" t="s">
        <v>1200</v>
      </c>
    </row>
    <row r="63" spans="2:26" hidden="1">
      <c r="D63" s="460"/>
      <c r="H63" s="460"/>
      <c r="I63" s="460"/>
      <c r="J63" s="460"/>
      <c r="K63" s="459" t="s">
        <v>1201</v>
      </c>
    </row>
    <row r="64" spans="2:26" s="162" customFormat="1" hidden="1">
      <c r="B64" s="458"/>
      <c r="C64" s="468"/>
      <c r="D64" s="468"/>
      <c r="F64" s="798"/>
      <c r="G64" s="222"/>
      <c r="H64" s="507"/>
      <c r="I64" s="507"/>
      <c r="J64" s="222"/>
      <c r="K64" s="459" t="s">
        <v>1202</v>
      </c>
      <c r="L64" s="469"/>
      <c r="M64" s="31"/>
      <c r="N64" s="470"/>
      <c r="O64" s="471"/>
      <c r="Q64" s="471"/>
      <c r="R64" s="510"/>
      <c r="S64" s="518"/>
      <c r="T64" s="158"/>
      <c r="U64" s="158"/>
      <c r="V64" s="158"/>
      <c r="W64" s="158"/>
      <c r="Z64" s="473"/>
    </row>
    <row r="65" spans="1:21" hidden="1">
      <c r="B65" s="162">
        <v>4</v>
      </c>
      <c r="C65" s="222" t="s">
        <v>1169</v>
      </c>
      <c r="F65" s="854">
        <v>12.9</v>
      </c>
    </row>
    <row r="66" spans="1:21" hidden="1">
      <c r="B66" s="162"/>
      <c r="C66" s="222"/>
      <c r="F66" s="483"/>
    </row>
    <row r="67" spans="1:21" hidden="1">
      <c r="B67" s="814">
        <f>MAX($B$53:B65)+1</f>
        <v>5</v>
      </c>
      <c r="C67" s="513" t="s">
        <v>162</v>
      </c>
      <c r="D67" s="513"/>
      <c r="E67" s="507"/>
      <c r="F67" s="941">
        <v>725</v>
      </c>
      <c r="G67" s="222" t="s">
        <v>250</v>
      </c>
      <c r="H67" s="507"/>
      <c r="I67" s="507"/>
      <c r="J67" s="222"/>
      <c r="K67" s="508">
        <f>F67/20</f>
        <v>36.25</v>
      </c>
      <c r="L67" s="469" t="s">
        <v>1170</v>
      </c>
    </row>
    <row r="68" spans="1:21" hidden="1">
      <c r="B68" s="222"/>
      <c r="C68" s="222"/>
      <c r="D68" s="222"/>
      <c r="E68" s="222"/>
      <c r="F68" s="222"/>
      <c r="G68" s="222"/>
      <c r="H68" s="222"/>
      <c r="I68" s="222"/>
      <c r="J68" s="222"/>
      <c r="K68" s="222"/>
      <c r="L68" s="222"/>
    </row>
    <row r="69" spans="1:21" hidden="1">
      <c r="B69" s="162"/>
      <c r="C69" s="222"/>
      <c r="F69" s="483"/>
    </row>
    <row r="70" spans="1:21" hidden="1">
      <c r="B70" s="162"/>
      <c r="C70" s="222"/>
      <c r="F70" s="483"/>
    </row>
    <row r="71" spans="1:21" hidden="1">
      <c r="B71" s="162"/>
      <c r="C71" s="222"/>
      <c r="F71" s="483"/>
    </row>
    <row r="72" spans="1:21" hidden="1"/>
    <row r="73" spans="1:21" ht="22.5" hidden="1" customHeight="1" thickBot="1">
      <c r="B73" s="300" t="s">
        <v>163</v>
      </c>
      <c r="C73" s="301"/>
      <c r="D73" s="301"/>
      <c r="E73" s="301"/>
      <c r="F73" s="301"/>
      <c r="G73" s="301"/>
      <c r="H73" s="301"/>
      <c r="I73" s="301"/>
      <c r="J73" s="301"/>
      <c r="K73" s="301"/>
      <c r="L73" s="301"/>
      <c r="M73" s="301"/>
      <c r="N73" s="301"/>
      <c r="O73" s="301"/>
      <c r="P73" s="301"/>
      <c r="Q73" s="293"/>
      <c r="R73" s="460"/>
    </row>
    <row r="74" spans="1:21" hidden="1"/>
    <row r="75" spans="1:21" hidden="1">
      <c r="B75" s="466" t="s">
        <v>64</v>
      </c>
      <c r="C75" s="460"/>
      <c r="D75" s="460"/>
      <c r="E75" s="460"/>
      <c r="F75" s="460"/>
      <c r="G75" s="460"/>
      <c r="H75" s="460"/>
      <c r="I75" s="460"/>
      <c r="J75" s="460"/>
      <c r="K75" s="460"/>
      <c r="L75" s="460"/>
      <c r="M75" s="460"/>
      <c r="N75" s="460"/>
      <c r="O75" s="460"/>
    </row>
    <row r="76" spans="1:21" hidden="1">
      <c r="B76" s="458"/>
      <c r="C76" s="460"/>
      <c r="D76" s="460"/>
      <c r="E76" s="460"/>
      <c r="F76" s="460"/>
      <c r="G76" s="460"/>
      <c r="H76" s="460"/>
      <c r="I76" s="460"/>
      <c r="J76" s="460"/>
      <c r="K76" s="460"/>
      <c r="L76" s="460"/>
      <c r="M76" s="460"/>
      <c r="N76" s="460"/>
      <c r="O76" s="460"/>
    </row>
    <row r="77" spans="1:21" hidden="1">
      <c r="A77" s="31"/>
      <c r="B77" s="458">
        <v>1</v>
      </c>
      <c r="C77" s="460" t="s">
        <v>526</v>
      </c>
      <c r="D77" s="460"/>
      <c r="E77" s="460"/>
      <c r="F77" s="460"/>
      <c r="G77" s="846">
        <v>1.75</v>
      </c>
      <c r="H77" s="460" t="s">
        <v>98</v>
      </c>
      <c r="I77" s="460"/>
      <c r="J77" s="460"/>
      <c r="K77" s="460"/>
      <c r="L77" s="460"/>
      <c r="N77" s="460"/>
      <c r="O77" s="460"/>
      <c r="P77" s="460"/>
      <c r="Q77" s="474"/>
      <c r="R77" s="474"/>
      <c r="S77" s="519"/>
      <c r="T77" s="460"/>
      <c r="U77" s="460"/>
    </row>
    <row r="78" spans="1:21" hidden="1">
      <c r="A78" s="31"/>
      <c r="B78" s="458">
        <f>MAX($B$77:B77)+1</f>
        <v>2</v>
      </c>
      <c r="C78" s="460" t="s">
        <v>527</v>
      </c>
      <c r="D78" s="460"/>
      <c r="E78" s="460"/>
      <c r="F78" s="460"/>
      <c r="G78" s="846">
        <f>G80/100</f>
        <v>100</v>
      </c>
      <c r="H78" s="460" t="s">
        <v>99</v>
      </c>
      <c r="I78" s="460"/>
      <c r="J78" s="460"/>
      <c r="K78" s="460"/>
      <c r="L78" s="460"/>
      <c r="N78" s="460"/>
      <c r="O78" s="460"/>
      <c r="P78" s="460"/>
      <c r="Q78" s="475"/>
      <c r="R78" s="475"/>
      <c r="S78" s="519"/>
      <c r="T78" s="460"/>
      <c r="U78" s="460"/>
    </row>
    <row r="79" spans="1:21" hidden="1">
      <c r="A79" s="31"/>
      <c r="C79" s="460"/>
      <c r="D79" s="460"/>
      <c r="E79" s="460"/>
      <c r="F79" s="460"/>
      <c r="G79" s="476"/>
      <c r="H79" s="460"/>
      <c r="I79" s="460"/>
      <c r="J79" s="460"/>
      <c r="K79" s="460"/>
      <c r="L79" s="460"/>
      <c r="N79" s="460"/>
      <c r="O79" s="460"/>
      <c r="P79" s="460"/>
      <c r="Q79" s="475"/>
      <c r="R79" s="475"/>
      <c r="S79" s="519"/>
      <c r="T79" s="460"/>
      <c r="U79" s="460"/>
    </row>
    <row r="80" spans="1:21" hidden="1">
      <c r="A80" s="31"/>
      <c r="B80" s="458">
        <f>MAX($B$77:B79)+1</f>
        <v>3</v>
      </c>
      <c r="C80" s="460" t="s">
        <v>62</v>
      </c>
      <c r="D80" s="460"/>
      <c r="E80" s="460"/>
      <c r="F80" s="460"/>
      <c r="G80" s="844">
        <v>10000</v>
      </c>
      <c r="H80" s="459" t="s">
        <v>501</v>
      </c>
      <c r="I80" s="460"/>
      <c r="J80" s="459"/>
      <c r="K80" s="460"/>
      <c r="L80" s="460"/>
      <c r="N80" s="460"/>
      <c r="O80" s="460"/>
      <c r="P80" s="460"/>
      <c r="Q80" s="475"/>
      <c r="R80" s="475"/>
      <c r="S80" s="519"/>
      <c r="T80" s="460"/>
      <c r="U80" s="460"/>
    </row>
    <row r="81" spans="1:21" hidden="1">
      <c r="A81" s="31"/>
      <c r="B81" s="458">
        <f>MAX($B$77:B80)+1</f>
        <v>4</v>
      </c>
      <c r="C81" s="460" t="s">
        <v>63</v>
      </c>
      <c r="D81" s="460"/>
      <c r="E81" s="460"/>
      <c r="F81" s="460"/>
      <c r="G81" s="844">
        <v>750</v>
      </c>
      <c r="H81" s="459" t="s">
        <v>1174</v>
      </c>
      <c r="I81" s="460"/>
      <c r="J81" s="460"/>
      <c r="K81" s="460"/>
      <c r="L81" s="460"/>
      <c r="N81" s="460"/>
      <c r="O81" s="460"/>
      <c r="P81" s="460"/>
      <c r="Q81" s="475"/>
      <c r="R81" s="475"/>
      <c r="S81" s="519"/>
      <c r="T81" s="460"/>
      <c r="U81" s="460"/>
    </row>
    <row r="82" spans="1:21" hidden="1">
      <c r="A82" s="31"/>
      <c r="B82" s="458"/>
      <c r="C82" s="459"/>
      <c r="D82" s="460"/>
      <c r="E82" s="460"/>
      <c r="F82" s="460"/>
      <c r="G82" s="844">
        <v>500</v>
      </c>
      <c r="H82" s="459" t="s">
        <v>1175</v>
      </c>
      <c r="I82" s="460"/>
      <c r="J82" s="460"/>
      <c r="K82" s="460"/>
      <c r="L82" s="460"/>
      <c r="N82" s="460"/>
      <c r="O82" s="460"/>
      <c r="P82" s="460"/>
      <c r="Q82" s="475"/>
      <c r="R82" s="475"/>
      <c r="S82" s="519"/>
      <c r="T82" s="460"/>
      <c r="U82" s="460"/>
    </row>
    <row r="83" spans="1:21" hidden="1">
      <c r="A83" s="31"/>
      <c r="C83" s="551" t="s">
        <v>941</v>
      </c>
      <c r="D83" s="543"/>
      <c r="E83" s="543"/>
      <c r="F83" s="543"/>
      <c r="G83" s="544"/>
      <c r="H83" s="543"/>
      <c r="I83" s="543"/>
      <c r="J83" s="543"/>
      <c r="K83" s="543"/>
      <c r="L83" s="460"/>
      <c r="N83" s="460"/>
      <c r="O83" s="460"/>
      <c r="P83" s="460"/>
      <c r="Q83" s="475"/>
      <c r="R83" s="475"/>
      <c r="S83" s="519"/>
      <c r="T83" s="460"/>
      <c r="U83" s="460"/>
    </row>
    <row r="84" spans="1:21" hidden="1">
      <c r="A84" s="31"/>
      <c r="B84" s="458">
        <f>MAX($B$77:B80)+1</f>
        <v>4</v>
      </c>
      <c r="C84" s="551" t="s">
        <v>626</v>
      </c>
      <c r="D84" s="543"/>
      <c r="E84" s="543"/>
      <c r="F84" s="543"/>
      <c r="G84" s="544"/>
      <c r="H84" s="543"/>
      <c r="I84" s="543"/>
      <c r="J84" s="543"/>
      <c r="K84" s="543"/>
      <c r="L84" s="460"/>
      <c r="N84" s="460"/>
      <c r="O84" s="460"/>
      <c r="P84" s="460"/>
      <c r="Q84" s="475"/>
      <c r="R84" s="475"/>
      <c r="S84" s="519"/>
      <c r="T84" s="460"/>
      <c r="U84" s="460"/>
    </row>
    <row r="85" spans="1:21" hidden="1">
      <c r="A85" s="31"/>
      <c r="C85" s="551"/>
      <c r="D85" s="543"/>
      <c r="E85" s="543"/>
      <c r="F85" s="543"/>
      <c r="G85" s="544" t="s">
        <v>76</v>
      </c>
      <c r="H85" s="543" t="s">
        <v>623</v>
      </c>
      <c r="I85" s="543"/>
      <c r="J85" s="543"/>
      <c r="K85" s="543"/>
      <c r="L85" s="460"/>
      <c r="N85" s="460"/>
      <c r="O85" s="460"/>
      <c r="P85" s="460"/>
      <c r="Q85" s="475"/>
      <c r="R85" s="475"/>
      <c r="S85" s="519"/>
      <c r="T85" s="460"/>
      <c r="U85" s="460"/>
    </row>
    <row r="86" spans="1:21" hidden="1">
      <c r="A86" s="31"/>
      <c r="B86" s="458"/>
      <c r="C86" s="551" t="s">
        <v>627</v>
      </c>
      <c r="D86" s="543"/>
      <c r="E86" s="543" t="s">
        <v>624</v>
      </c>
      <c r="F86" s="543" t="s">
        <v>628</v>
      </c>
      <c r="G86" s="799">
        <v>7500</v>
      </c>
      <c r="H86" s="799">
        <v>700</v>
      </c>
      <c r="I86" s="543"/>
      <c r="J86" s="543" t="s">
        <v>430</v>
      </c>
      <c r="K86" s="545" t="s">
        <v>617</v>
      </c>
      <c r="L86" s="460"/>
      <c r="N86" s="460"/>
      <c r="O86" s="460"/>
      <c r="P86" s="460"/>
      <c r="Q86" s="475"/>
      <c r="R86" s="475"/>
      <c r="S86" s="519"/>
      <c r="T86" s="460"/>
      <c r="U86" s="460"/>
    </row>
    <row r="87" spans="1:21" hidden="1">
      <c r="A87" s="31"/>
      <c r="B87" s="458"/>
      <c r="C87" s="551"/>
      <c r="D87" s="543"/>
      <c r="E87" s="543" t="s">
        <v>625</v>
      </c>
      <c r="F87" s="543" t="s">
        <v>629</v>
      </c>
      <c r="G87" s="799">
        <v>7500</v>
      </c>
      <c r="H87" s="799">
        <v>500</v>
      </c>
      <c r="I87" s="543"/>
      <c r="J87" s="543"/>
      <c r="K87" s="545" t="s">
        <v>618</v>
      </c>
      <c r="L87" s="460"/>
      <c r="N87" s="460"/>
      <c r="O87" s="460"/>
      <c r="P87" s="460"/>
      <c r="Q87" s="475"/>
      <c r="R87" s="475"/>
      <c r="S87" s="519"/>
      <c r="T87" s="460"/>
      <c r="U87" s="460"/>
    </row>
    <row r="88" spans="1:21" hidden="1">
      <c r="A88" s="31"/>
      <c r="C88" s="460"/>
      <c r="D88" s="460"/>
      <c r="E88" s="460"/>
      <c r="F88" s="460"/>
      <c r="G88" s="477"/>
      <c r="H88" s="460"/>
      <c r="I88" s="460"/>
      <c r="J88" s="460"/>
      <c r="K88" s="460"/>
      <c r="L88" s="460"/>
      <c r="N88" s="460"/>
      <c r="O88" s="460"/>
      <c r="P88" s="460"/>
      <c r="Q88" s="475"/>
      <c r="R88" s="475"/>
      <c r="S88" s="519"/>
      <c r="T88" s="460"/>
      <c r="U88" s="460"/>
    </row>
    <row r="89" spans="1:21" hidden="1">
      <c r="A89" s="31"/>
      <c r="B89" s="458">
        <f>MAX($B$77:B83)+1</f>
        <v>5</v>
      </c>
      <c r="C89" s="459" t="s">
        <v>478</v>
      </c>
      <c r="D89" s="460"/>
      <c r="E89" s="460"/>
      <c r="G89" s="478"/>
      <c r="H89" s="459"/>
      <c r="I89" s="460"/>
      <c r="J89" s="460"/>
      <c r="K89" s="460"/>
      <c r="L89" s="460"/>
      <c r="N89" s="460"/>
      <c r="O89" s="460"/>
      <c r="P89" s="460"/>
      <c r="Q89" s="460"/>
      <c r="R89" s="460"/>
      <c r="S89" s="519"/>
      <c r="T89" s="460"/>
      <c r="U89" s="460"/>
    </row>
    <row r="90" spans="1:21" hidden="1">
      <c r="A90" s="31"/>
      <c r="C90" s="460"/>
      <c r="D90" s="479" t="s">
        <v>91</v>
      </c>
      <c r="E90" s="460" t="s">
        <v>55</v>
      </c>
      <c r="F90" s="476">
        <v>35</v>
      </c>
      <c r="G90" s="460" t="s">
        <v>100</v>
      </c>
      <c r="H90" s="476">
        <v>0.4</v>
      </c>
      <c r="I90" s="459" t="s">
        <v>479</v>
      </c>
      <c r="K90" s="480">
        <f>F90/100*H90</f>
        <v>0.13999999999999999</v>
      </c>
      <c r="L90" s="459" t="s">
        <v>480</v>
      </c>
      <c r="N90" s="460"/>
      <c r="O90" s="460"/>
      <c r="P90" s="460"/>
      <c r="Q90" s="460"/>
      <c r="R90" s="460"/>
      <c r="S90" s="519"/>
      <c r="T90" s="460"/>
      <c r="U90" s="460"/>
    </row>
    <row r="91" spans="1:21" hidden="1">
      <c r="A91" s="31"/>
      <c r="C91" s="460"/>
      <c r="D91" s="479" t="s">
        <v>133</v>
      </c>
      <c r="E91" s="460" t="s">
        <v>56</v>
      </c>
      <c r="F91" s="476">
        <v>45</v>
      </c>
      <c r="G91" s="460" t="s">
        <v>100</v>
      </c>
      <c r="H91" s="476">
        <v>0.35</v>
      </c>
      <c r="I91" s="459" t="s">
        <v>479</v>
      </c>
      <c r="K91" s="480">
        <f>F91/100*H91</f>
        <v>0.1575</v>
      </c>
      <c r="L91" s="459" t="s">
        <v>480</v>
      </c>
      <c r="N91" s="460"/>
      <c r="O91" s="460"/>
      <c r="P91" s="460"/>
      <c r="Q91" s="460"/>
      <c r="R91" s="460"/>
      <c r="S91" s="519"/>
      <c r="T91" s="460"/>
      <c r="U91" s="460"/>
    </row>
    <row r="92" spans="1:21" hidden="1">
      <c r="A92" s="31"/>
      <c r="C92" s="460"/>
      <c r="D92" s="479" t="s">
        <v>132</v>
      </c>
      <c r="E92" s="460" t="s">
        <v>134</v>
      </c>
      <c r="F92" s="476">
        <v>60</v>
      </c>
      <c r="G92" s="460" t="s">
        <v>100</v>
      </c>
      <c r="H92" s="476">
        <v>0.3</v>
      </c>
      <c r="I92" s="459" t="s">
        <v>479</v>
      </c>
      <c r="K92" s="480">
        <f>F92/100*H92</f>
        <v>0.18</v>
      </c>
      <c r="L92" s="459" t="s">
        <v>480</v>
      </c>
      <c r="N92" s="460"/>
      <c r="O92" s="460"/>
      <c r="P92" s="460"/>
      <c r="Q92" s="460"/>
      <c r="R92" s="460"/>
      <c r="S92" s="519"/>
      <c r="T92" s="460"/>
      <c r="U92" s="460"/>
    </row>
    <row r="93" spans="1:21" hidden="1">
      <c r="A93" s="31"/>
      <c r="C93" s="460"/>
      <c r="D93" s="460"/>
      <c r="E93" s="460"/>
      <c r="F93" s="460"/>
      <c r="G93" s="460"/>
      <c r="H93" s="460"/>
      <c r="I93" s="460"/>
      <c r="J93" s="460"/>
      <c r="K93" s="460"/>
      <c r="L93" s="460"/>
      <c r="N93" s="460"/>
      <c r="O93" s="460"/>
      <c r="P93" s="460"/>
      <c r="Q93" s="460"/>
      <c r="R93" s="460"/>
      <c r="S93" s="519"/>
      <c r="T93" s="460"/>
      <c r="U93" s="460"/>
    </row>
    <row r="94" spans="1:21" hidden="1">
      <c r="A94" s="31"/>
      <c r="B94" s="458">
        <v>6</v>
      </c>
      <c r="C94" s="459" t="s">
        <v>1233</v>
      </c>
      <c r="D94" s="460"/>
      <c r="E94" s="460"/>
      <c r="F94" s="460"/>
      <c r="G94" s="460"/>
      <c r="H94" s="460"/>
      <c r="I94" s="460"/>
      <c r="J94" s="460"/>
      <c r="K94" s="460"/>
      <c r="L94" s="460"/>
      <c r="N94" s="460"/>
      <c r="O94" s="460"/>
      <c r="P94" s="460"/>
      <c r="Q94" s="460"/>
      <c r="R94" s="460"/>
      <c r="S94" s="519"/>
      <c r="T94" s="460"/>
      <c r="U94" s="460"/>
    </row>
    <row r="95" spans="1:21" hidden="1">
      <c r="A95" s="31"/>
      <c r="C95" s="460"/>
      <c r="D95" s="460"/>
      <c r="E95" s="460"/>
      <c r="F95" s="460"/>
      <c r="G95" s="460"/>
      <c r="H95" s="460"/>
      <c r="I95" s="460"/>
      <c r="J95" s="460"/>
      <c r="K95" s="460"/>
      <c r="L95" s="460"/>
      <c r="N95" s="460"/>
      <c r="O95" s="460"/>
      <c r="P95" s="460"/>
      <c r="Q95" s="460"/>
      <c r="R95" s="460"/>
      <c r="S95" s="519"/>
      <c r="T95" s="460"/>
      <c r="U95" s="460"/>
    </row>
    <row r="96" spans="1:21" hidden="1">
      <c r="A96" s="31"/>
      <c r="B96" s="458">
        <f>MAX($B$77:B95)+1</f>
        <v>7</v>
      </c>
      <c r="C96" s="460" t="s">
        <v>60</v>
      </c>
      <c r="D96" s="460"/>
      <c r="E96" s="460"/>
      <c r="F96" s="460"/>
      <c r="G96" s="460"/>
      <c r="H96" s="459" t="s">
        <v>1232</v>
      </c>
      <c r="I96" s="460"/>
      <c r="J96" s="847">
        <v>10</v>
      </c>
      <c r="K96" s="459" t="s">
        <v>28</v>
      </c>
      <c r="L96" s="460"/>
      <c r="N96" s="460"/>
      <c r="O96" s="460"/>
      <c r="P96" s="460"/>
      <c r="Q96" s="460"/>
      <c r="R96" s="460"/>
      <c r="S96" s="519"/>
      <c r="T96" s="460"/>
      <c r="U96" s="460"/>
    </row>
    <row r="97" spans="1:21" hidden="1">
      <c r="A97" s="31"/>
      <c r="C97" s="481" t="s">
        <v>1311</v>
      </c>
      <c r="D97" s="481"/>
      <c r="E97" s="482"/>
      <c r="G97" s="482"/>
      <c r="H97" s="483"/>
      <c r="I97" s="460"/>
      <c r="J97" s="460"/>
      <c r="K97" s="484"/>
      <c r="L97" s="460"/>
      <c r="N97" s="460"/>
      <c r="O97" s="460"/>
      <c r="P97" s="460"/>
      <c r="Q97" s="460"/>
      <c r="R97" s="460"/>
      <c r="S97" s="519"/>
      <c r="T97" s="460"/>
      <c r="U97" s="460"/>
    </row>
    <row r="98" spans="1:21" hidden="1">
      <c r="A98" s="31"/>
      <c r="C98" s="460"/>
      <c r="D98" s="460"/>
      <c r="E98" s="466" t="s">
        <v>68</v>
      </c>
      <c r="F98" s="466"/>
      <c r="G98" s="466" t="s">
        <v>1014</v>
      </c>
      <c r="H98" s="485"/>
      <c r="J98" s="485" t="s">
        <v>65</v>
      </c>
      <c r="K98" s="460"/>
      <c r="L98" s="460"/>
      <c r="M98" s="485" t="s">
        <v>66</v>
      </c>
      <c r="N98" s="460"/>
      <c r="O98" s="460"/>
      <c r="P98" s="460"/>
      <c r="Q98" s="460"/>
      <c r="R98" s="460"/>
      <c r="S98" s="519"/>
      <c r="T98" s="460"/>
      <c r="U98" s="460"/>
    </row>
    <row r="99" spans="1:21" hidden="1">
      <c r="A99" s="31"/>
      <c r="C99" s="460"/>
      <c r="D99" s="460"/>
      <c r="E99" s="482">
        <v>0</v>
      </c>
      <c r="F99" s="158" t="str">
        <f>"- "&amp;E100-1</f>
        <v>- 59</v>
      </c>
      <c r="G99" s="482">
        <f t="shared" ref="G99:G105" si="0">MROUND(E99*PKperKW,5)</f>
        <v>0</v>
      </c>
      <c r="H99" s="158" t="str">
        <f>"- "&amp;G100-1</f>
        <v>- 79</v>
      </c>
      <c r="J99" s="842">
        <v>6880</v>
      </c>
      <c r="K99" s="158" t="str">
        <f>"- "&amp;TEXT(J100,"#,##0")&amp;" per kW"</f>
        <v>- 8,250 per kW</v>
      </c>
      <c r="L99" s="460"/>
      <c r="M99" s="843">
        <v>7330</v>
      </c>
      <c r="N99" s="158" t="str">
        <f>"- "&amp;TEXT(M100,"#,##0")&amp;" per kW"</f>
        <v>- 10,265 per kW</v>
      </c>
      <c r="O99" s="460"/>
      <c r="P99" s="460"/>
      <c r="Q99" s="460"/>
      <c r="R99" s="460"/>
      <c r="S99" s="519"/>
      <c r="T99" s="460"/>
      <c r="U99" s="460"/>
    </row>
    <row r="100" spans="1:21" hidden="1">
      <c r="A100" s="31"/>
      <c r="C100" s="460"/>
      <c r="D100" s="460"/>
      <c r="E100" s="482">
        <v>60</v>
      </c>
      <c r="F100" s="158" t="str">
        <f t="shared" ref="F100:F102" si="1">"- "&amp;E101-1</f>
        <v>- 119</v>
      </c>
      <c r="G100" s="482">
        <f t="shared" si="0"/>
        <v>80</v>
      </c>
      <c r="H100" s="158" t="str">
        <f t="shared" ref="H100:H102" si="2">"- "&amp;G101-1</f>
        <v>- 159</v>
      </c>
      <c r="J100" s="842">
        <v>8250</v>
      </c>
      <c r="K100" s="222" t="s">
        <v>61</v>
      </c>
      <c r="L100" s="460"/>
      <c r="M100" s="843">
        <v>10265</v>
      </c>
      <c r="N100" s="158" t="str">
        <f>"- "&amp;TEXT(M101,"#,##0")&amp;" per kW"</f>
        <v>- 13,440 per kW</v>
      </c>
      <c r="O100" s="460"/>
      <c r="P100" s="460"/>
      <c r="Q100" s="460"/>
      <c r="R100" s="460"/>
      <c r="S100" s="519"/>
      <c r="T100" s="460"/>
      <c r="U100" s="460"/>
    </row>
    <row r="101" spans="1:21" hidden="1">
      <c r="A101" s="31"/>
      <c r="C101" s="460"/>
      <c r="D101" s="460"/>
      <c r="E101" s="486">
        <v>120</v>
      </c>
      <c r="F101" s="158" t="str">
        <f t="shared" si="1"/>
        <v>- 179</v>
      </c>
      <c r="G101" s="482">
        <f t="shared" si="0"/>
        <v>160</v>
      </c>
      <c r="H101" s="158" t="str">
        <f t="shared" si="2"/>
        <v>- 239</v>
      </c>
      <c r="J101" s="892">
        <f>J100</f>
        <v>8250</v>
      </c>
      <c r="L101" s="460"/>
      <c r="M101" s="843">
        <v>13440</v>
      </c>
      <c r="N101" s="158" t="str">
        <f>"- "&amp;TEXT(M102,"#,##0")&amp;" per kW"</f>
        <v>- 15,540 per kW</v>
      </c>
      <c r="O101" s="460"/>
      <c r="P101" s="460"/>
      <c r="Q101" s="460"/>
      <c r="R101" s="460"/>
      <c r="S101" s="519"/>
      <c r="T101" s="460"/>
      <c r="U101" s="460"/>
    </row>
    <row r="102" spans="1:21" hidden="1">
      <c r="A102" s="31"/>
      <c r="C102" s="460"/>
      <c r="D102" s="460"/>
      <c r="E102" s="482">
        <v>180</v>
      </c>
      <c r="F102" s="158" t="str">
        <f t="shared" si="1"/>
        <v>- 239</v>
      </c>
      <c r="G102" s="482">
        <f t="shared" si="0"/>
        <v>240</v>
      </c>
      <c r="H102" s="158" t="str">
        <f t="shared" si="2"/>
        <v>- 319</v>
      </c>
      <c r="J102" s="892">
        <f>J101</f>
        <v>8250</v>
      </c>
      <c r="K102" s="543"/>
      <c r="L102" s="460"/>
      <c r="M102" s="843">
        <v>15540</v>
      </c>
      <c r="N102" s="158" t="str">
        <f>"- "&amp;TEXT(M103,"#,##0")&amp;" per kW"</f>
        <v>- 15,660 per kW</v>
      </c>
      <c r="O102" s="460"/>
      <c r="P102" s="460"/>
      <c r="Q102" s="460"/>
      <c r="R102" s="460"/>
      <c r="S102" s="519"/>
      <c r="T102" s="460"/>
      <c r="U102" s="460"/>
    </row>
    <row r="103" spans="1:21" hidden="1">
      <c r="A103" s="31"/>
      <c r="C103" s="460"/>
      <c r="D103" s="460"/>
      <c r="E103" s="482">
        <v>240</v>
      </c>
      <c r="F103" s="158" t="str">
        <f>"- "&amp;E104-1</f>
        <v>- 299</v>
      </c>
      <c r="G103" s="482">
        <f t="shared" si="0"/>
        <v>320</v>
      </c>
      <c r="H103" s="158" t="str">
        <f>"- "&amp;G104-1</f>
        <v>- 399</v>
      </c>
      <c r="J103" s="483"/>
      <c r="K103" s="460"/>
      <c r="L103" s="460"/>
      <c r="M103" s="843">
        <v>15660</v>
      </c>
      <c r="N103" s="158" t="str">
        <f>"- "&amp;TEXT(M104,"#,##0")&amp;" per kW"</f>
        <v>- 16,000 per kW</v>
      </c>
      <c r="O103" s="460"/>
      <c r="P103" s="460"/>
      <c r="Q103" s="460"/>
      <c r="R103" s="460"/>
      <c r="S103" s="519"/>
      <c r="T103" s="460"/>
      <c r="U103" s="460"/>
    </row>
    <row r="104" spans="1:21" hidden="1">
      <c r="A104" s="31"/>
      <c r="C104" s="460"/>
      <c r="D104" s="460"/>
      <c r="E104" s="482">
        <v>300</v>
      </c>
      <c r="F104" s="158" t="s">
        <v>0</v>
      </c>
      <c r="G104" s="482">
        <f t="shared" ref="G104" si="3">MROUND(E104*PKperKW,5)</f>
        <v>400</v>
      </c>
      <c r="H104" s="158" t="s">
        <v>0</v>
      </c>
      <c r="J104" s="483"/>
      <c r="K104" s="460"/>
      <c r="L104" s="460"/>
      <c r="M104" s="843">
        <v>16000</v>
      </c>
      <c r="N104" s="460" t="s">
        <v>61</v>
      </c>
      <c r="O104" s="460"/>
      <c r="P104" s="460"/>
      <c r="Q104" s="460"/>
      <c r="R104" s="460"/>
      <c r="S104" s="519"/>
      <c r="T104" s="460"/>
      <c r="U104" s="460"/>
    </row>
    <row r="105" spans="1:21" hidden="1">
      <c r="A105" s="31"/>
      <c r="C105" s="460"/>
      <c r="D105" s="880" t="s">
        <v>1231</v>
      </c>
      <c r="E105" s="880">
        <v>1000</v>
      </c>
      <c r="F105" s="880" t="s">
        <v>0</v>
      </c>
      <c r="G105" s="883">
        <f t="shared" si="0"/>
        <v>1340</v>
      </c>
      <c r="H105" s="880" t="s">
        <v>0</v>
      </c>
      <c r="I105" s="880"/>
      <c r="J105" s="885"/>
      <c r="K105" s="543"/>
      <c r="L105" s="543"/>
      <c r="M105" s="884">
        <f>M104</f>
        <v>16000</v>
      </c>
      <c r="N105" s="543" t="s">
        <v>61</v>
      </c>
      <c r="O105" s="460"/>
      <c r="P105" s="460"/>
      <c r="Q105" s="460"/>
      <c r="R105" s="460"/>
      <c r="S105" s="519"/>
      <c r="T105" s="460"/>
      <c r="U105" s="460"/>
    </row>
    <row r="106" spans="1:21" hidden="1">
      <c r="A106" s="31"/>
      <c r="C106" s="460"/>
      <c r="D106" s="460"/>
      <c r="E106" s="482"/>
      <c r="G106" s="482"/>
      <c r="J106" s="483"/>
      <c r="K106" s="460"/>
      <c r="L106" s="460"/>
      <c r="M106" s="460"/>
      <c r="N106" s="460"/>
      <c r="O106" s="460"/>
      <c r="P106" s="460"/>
      <c r="Q106" s="460"/>
      <c r="R106" s="460"/>
      <c r="S106" s="519"/>
      <c r="T106" s="460"/>
      <c r="U106" s="460"/>
    </row>
    <row r="107" spans="1:21" hidden="1">
      <c r="A107" s="31"/>
      <c r="C107" s="460"/>
      <c r="D107" s="460"/>
      <c r="E107" s="482"/>
      <c r="G107" s="482"/>
      <c r="H107" s="483"/>
      <c r="I107" s="460"/>
      <c r="J107" s="460"/>
      <c r="K107" s="460"/>
      <c r="L107" s="460"/>
      <c r="N107" s="475"/>
      <c r="O107" s="460"/>
      <c r="P107" s="460"/>
      <c r="Q107" s="460"/>
      <c r="R107" s="460"/>
      <c r="S107" s="519"/>
      <c r="T107" s="460"/>
      <c r="U107" s="460"/>
    </row>
    <row r="108" spans="1:21" ht="22.5" hidden="1" customHeight="1" thickBot="1">
      <c r="B108" s="300" t="s">
        <v>900</v>
      </c>
      <c r="C108" s="301"/>
      <c r="D108" s="301"/>
      <c r="E108" s="301"/>
      <c r="F108" s="301"/>
      <c r="G108" s="301"/>
      <c r="H108" s="301"/>
      <c r="I108" s="301"/>
      <c r="J108" s="301"/>
      <c r="K108" s="301"/>
      <c r="L108" s="301"/>
      <c r="M108" s="301"/>
      <c r="N108" s="301"/>
      <c r="O108" s="301"/>
      <c r="P108" s="301"/>
      <c r="Q108" s="293"/>
      <c r="R108" s="460"/>
    </row>
    <row r="109" spans="1:21" hidden="1"/>
    <row r="110" spans="1:21" hidden="1">
      <c r="B110" s="466" t="s">
        <v>115</v>
      </c>
      <c r="C110" s="460"/>
      <c r="D110" s="460"/>
      <c r="E110" s="474"/>
      <c r="F110" s="460"/>
    </row>
    <row r="111" spans="1:21" hidden="1">
      <c r="B111" s="466"/>
      <c r="C111" s="460"/>
      <c r="D111" s="460"/>
      <c r="E111" s="474"/>
      <c r="F111" s="460"/>
      <c r="G111" s="460"/>
      <c r="H111" s="460"/>
      <c r="I111" s="460"/>
      <c r="J111" s="460"/>
      <c r="K111" s="460"/>
      <c r="L111" s="460"/>
      <c r="M111" s="460"/>
      <c r="N111" s="460"/>
    </row>
    <row r="112" spans="1:21" hidden="1">
      <c r="B112" s="458">
        <v>1</v>
      </c>
      <c r="C112" s="460" t="s">
        <v>526</v>
      </c>
      <c r="D112" s="460"/>
      <c r="F112" s="846">
        <v>1.75</v>
      </c>
      <c r="G112" s="460" t="s">
        <v>98</v>
      </c>
      <c r="H112" s="460"/>
      <c r="I112" s="460"/>
      <c r="J112" s="460"/>
      <c r="K112" s="460"/>
    </row>
    <row r="113" spans="1:21" hidden="1">
      <c r="B113" s="458">
        <f>MAX($B$112:B112)+1</f>
        <v>2</v>
      </c>
      <c r="C113" s="460" t="s">
        <v>527</v>
      </c>
      <c r="D113" s="460"/>
      <c r="F113" s="487" t="s">
        <v>116</v>
      </c>
      <c r="G113" s="460" t="s">
        <v>99</v>
      </c>
      <c r="H113" s="460"/>
      <c r="I113" s="460"/>
      <c r="J113" s="460"/>
      <c r="K113" s="460"/>
    </row>
    <row r="114" spans="1:21" hidden="1">
      <c r="B114" s="458"/>
      <c r="C114" s="460"/>
      <c r="D114" s="460"/>
      <c r="F114" s="476"/>
      <c r="G114" s="460"/>
      <c r="H114" s="460"/>
      <c r="I114" s="460"/>
      <c r="J114" s="460"/>
      <c r="K114" s="460"/>
    </row>
    <row r="115" spans="1:21" hidden="1">
      <c r="B115" s="458">
        <f>MAX($B$112:B114)+1</f>
        <v>3</v>
      </c>
      <c r="C115" s="460" t="s">
        <v>79</v>
      </c>
      <c r="D115" s="460"/>
      <c r="F115" s="477"/>
      <c r="G115" s="460"/>
      <c r="H115" s="460"/>
      <c r="I115" s="460"/>
      <c r="J115" s="460"/>
      <c r="K115" s="460"/>
    </row>
    <row r="116" spans="1:21" hidden="1">
      <c r="B116" s="458"/>
      <c r="C116" s="460"/>
      <c r="D116" s="460"/>
      <c r="F116" s="460"/>
      <c r="G116" s="477"/>
      <c r="H116" s="460"/>
      <c r="I116" s="460"/>
      <c r="J116" s="460"/>
      <c r="K116" s="460"/>
      <c r="L116" s="460"/>
    </row>
    <row r="117" spans="1:21" hidden="1">
      <c r="B117" s="458">
        <f>MAX($B$112:B116)+1</f>
        <v>4</v>
      </c>
      <c r="C117" s="460" t="s">
        <v>96</v>
      </c>
      <c r="D117" s="460"/>
      <c r="F117" s="476">
        <v>60</v>
      </c>
      <c r="G117" s="460" t="s">
        <v>100</v>
      </c>
      <c r="H117" s="476">
        <v>0.3</v>
      </c>
      <c r="I117" s="460" t="s">
        <v>54</v>
      </c>
      <c r="J117" s="480">
        <f>F117/100*H117</f>
        <v>0.18</v>
      </c>
      <c r="K117" s="460" t="s">
        <v>53</v>
      </c>
      <c r="L117" s="460"/>
    </row>
    <row r="118" spans="1:21" hidden="1">
      <c r="B118" s="458"/>
      <c r="C118" s="460"/>
      <c r="D118" s="460"/>
      <c r="E118" s="476"/>
      <c r="F118" s="460"/>
      <c r="G118" s="476"/>
      <c r="H118" s="460"/>
      <c r="I118" s="480"/>
      <c r="J118" s="460"/>
      <c r="K118" s="460"/>
      <c r="L118" s="460"/>
    </row>
    <row r="119" spans="1:21" hidden="1">
      <c r="B119" s="458"/>
      <c r="C119" s="460"/>
      <c r="D119" s="460"/>
      <c r="N119" s="460"/>
    </row>
    <row r="120" spans="1:21" hidden="1">
      <c r="B120" s="466" t="s">
        <v>160</v>
      </c>
      <c r="C120" s="460"/>
      <c r="D120" s="460"/>
      <c r="N120" s="460"/>
    </row>
    <row r="121" spans="1:21" hidden="1">
      <c r="B121" s="458"/>
      <c r="C121" s="460"/>
      <c r="D121" s="460"/>
    </row>
    <row r="122" spans="1:21" hidden="1">
      <c r="A122" s="31"/>
      <c r="B122" s="458">
        <f>MAX($B$112:B121)+1</f>
        <v>5</v>
      </c>
      <c r="C122" s="459" t="s">
        <v>1234</v>
      </c>
      <c r="D122" s="460"/>
      <c r="E122" s="460"/>
      <c r="F122" s="460"/>
      <c r="G122" s="460"/>
      <c r="H122" s="460"/>
      <c r="I122" s="460"/>
      <c r="J122" s="460"/>
      <c r="K122" s="460"/>
      <c r="L122" s="460"/>
      <c r="N122" s="460"/>
      <c r="O122" s="460"/>
      <c r="P122" s="460"/>
      <c r="Q122" s="460"/>
      <c r="R122" s="460"/>
      <c r="S122" s="519"/>
      <c r="T122" s="460"/>
      <c r="U122" s="460"/>
    </row>
    <row r="123" spans="1:21" hidden="1">
      <c r="A123" s="31"/>
      <c r="C123" s="460"/>
      <c r="D123" s="460"/>
      <c r="E123" s="460"/>
      <c r="F123" s="460"/>
      <c r="G123" s="460"/>
      <c r="H123" s="460"/>
      <c r="I123" s="460"/>
      <c r="J123" s="460"/>
      <c r="K123" s="460"/>
      <c r="L123" s="460"/>
      <c r="N123" s="460"/>
      <c r="O123" s="460"/>
      <c r="P123" s="460"/>
      <c r="Q123" s="460"/>
      <c r="R123" s="460"/>
      <c r="S123" s="519"/>
      <c r="T123" s="460"/>
      <c r="U123" s="460"/>
    </row>
    <row r="124" spans="1:21" hidden="1">
      <c r="B124" s="458">
        <f>MAX($B$112:B123)+1</f>
        <v>6</v>
      </c>
      <c r="C124" s="459" t="s">
        <v>1073</v>
      </c>
      <c r="D124" s="460"/>
      <c r="E124" s="460"/>
      <c r="F124" s="460"/>
      <c r="G124" s="460"/>
    </row>
    <row r="125" spans="1:21" hidden="1">
      <c r="B125" s="458"/>
      <c r="C125" s="460"/>
      <c r="D125" s="460"/>
      <c r="E125" s="466" t="s">
        <v>68</v>
      </c>
      <c r="F125" s="466"/>
      <c r="G125" s="466" t="s">
        <v>1014</v>
      </c>
      <c r="H125" s="485"/>
      <c r="I125" s="482"/>
      <c r="L125" s="460"/>
    </row>
    <row r="126" spans="1:21" hidden="1">
      <c r="B126" s="458"/>
      <c r="C126" s="460"/>
      <c r="D126" s="459" t="s">
        <v>1173</v>
      </c>
      <c r="E126" s="482">
        <v>0</v>
      </c>
      <c r="F126" s="158" t="str">
        <f>"- "&amp;E127-1</f>
        <v>- 199</v>
      </c>
      <c r="G126" s="482">
        <f t="shared" ref="G126:G132" si="4">MROUND(E126*PKperKW,5)</f>
        <v>0</v>
      </c>
      <c r="H126" s="158" t="str">
        <f>"- "&amp;G127-1</f>
        <v>- 269</v>
      </c>
      <c r="J126" s="843">
        <v>14200</v>
      </c>
      <c r="K126" s="158" t="str">
        <f t="shared" ref="K126:K130" si="5">"- "&amp;TEXT(J127,"#,##0")&amp;" per kW"</f>
        <v>- 14,750 per kW</v>
      </c>
      <c r="L126" s="459"/>
    </row>
    <row r="127" spans="1:21" hidden="1">
      <c r="B127" s="458"/>
      <c r="C127" s="460"/>
      <c r="D127" s="459" t="s">
        <v>1116</v>
      </c>
      <c r="E127" s="482">
        <v>200</v>
      </c>
      <c r="F127" s="158" t="str">
        <f t="shared" ref="F127:F128" si="6">"- "&amp;E128-1</f>
        <v>- 239</v>
      </c>
      <c r="G127" s="482">
        <f t="shared" si="4"/>
        <v>270</v>
      </c>
      <c r="H127" s="158" t="str">
        <f t="shared" ref="H127" si="7">"- "&amp;G128-1</f>
        <v>- 319</v>
      </c>
      <c r="J127" s="843">
        <v>14750</v>
      </c>
      <c r="K127" s="158" t="str">
        <f t="shared" si="5"/>
        <v>- 14,750 per kW</v>
      </c>
    </row>
    <row r="128" spans="1:21" hidden="1">
      <c r="B128" s="458"/>
      <c r="C128" s="460"/>
      <c r="D128" s="459" t="s">
        <v>1117</v>
      </c>
      <c r="E128" s="486">
        <v>240</v>
      </c>
      <c r="F128" s="158" t="str">
        <f t="shared" si="6"/>
        <v>- 279</v>
      </c>
      <c r="G128" s="482">
        <f t="shared" si="4"/>
        <v>320</v>
      </c>
      <c r="H128" s="158" t="str">
        <f>"- "&amp;G129-1</f>
        <v>- 374</v>
      </c>
      <c r="J128" s="843">
        <v>14750</v>
      </c>
      <c r="K128" s="158" t="str">
        <f t="shared" si="5"/>
        <v>- 14,000 per kW</v>
      </c>
    </row>
    <row r="129" spans="2:14" hidden="1">
      <c r="B129" s="458"/>
      <c r="C129" s="460"/>
      <c r="D129" s="459" t="s">
        <v>1118</v>
      </c>
      <c r="E129" s="486">
        <v>280</v>
      </c>
      <c r="F129" s="158" t="str">
        <f>"- "&amp;E130-1</f>
        <v>- 319</v>
      </c>
      <c r="G129" s="482">
        <f t="shared" si="4"/>
        <v>375</v>
      </c>
      <c r="H129" s="158" t="str">
        <f>"- "&amp;G130-1</f>
        <v>- 429</v>
      </c>
      <c r="J129" s="843">
        <v>14000</v>
      </c>
      <c r="K129" s="158" t="str">
        <f t="shared" si="5"/>
        <v>- 13,500 per kW</v>
      </c>
    </row>
    <row r="130" spans="2:14" hidden="1">
      <c r="B130" s="458"/>
      <c r="C130" s="460"/>
      <c r="D130" s="459" t="s">
        <v>1229</v>
      </c>
      <c r="E130" s="486">
        <v>320</v>
      </c>
      <c r="F130" s="158" t="str">
        <f>"- "&amp;E131-1</f>
        <v>- 359</v>
      </c>
      <c r="G130" s="482">
        <f t="shared" si="4"/>
        <v>430</v>
      </c>
      <c r="H130" s="158" t="str">
        <f>"- "&amp;G131-1</f>
        <v>- 484</v>
      </c>
      <c r="J130" s="843">
        <v>13500</v>
      </c>
      <c r="K130" s="158" t="str">
        <f t="shared" si="5"/>
        <v>- 12,665 per kW</v>
      </c>
    </row>
    <row r="131" spans="2:14" hidden="1">
      <c r="B131" s="458"/>
      <c r="C131" s="460"/>
      <c r="D131" s="222" t="s">
        <v>1230</v>
      </c>
      <c r="E131" s="486">
        <v>360</v>
      </c>
      <c r="F131" s="859" t="s">
        <v>0</v>
      </c>
      <c r="G131" s="482">
        <f t="shared" ref="G131" si="8">MROUND(E131*PKperKW,5)</f>
        <v>485</v>
      </c>
      <c r="H131" s="859" t="s">
        <v>0</v>
      </c>
      <c r="J131" s="843">
        <v>12665</v>
      </c>
      <c r="K131" s="460" t="s">
        <v>61</v>
      </c>
    </row>
    <row r="132" spans="2:14" hidden="1">
      <c r="D132" s="880" t="s">
        <v>1231</v>
      </c>
      <c r="E132" s="881">
        <v>1000</v>
      </c>
      <c r="F132" s="882" t="s">
        <v>0</v>
      </c>
      <c r="G132" s="883">
        <f t="shared" si="4"/>
        <v>1340</v>
      </c>
      <c r="H132" s="882" t="s">
        <v>0</v>
      </c>
      <c r="I132" s="880"/>
      <c r="J132" s="884">
        <f>J131</f>
        <v>12665</v>
      </c>
      <c r="K132" s="543" t="s">
        <v>61</v>
      </c>
    </row>
    <row r="133" spans="2:14" hidden="1">
      <c r="E133" s="486"/>
      <c r="F133" s="222"/>
      <c r="G133" s="482"/>
      <c r="H133" s="222"/>
      <c r="J133" s="813"/>
      <c r="K133" s="460"/>
    </row>
    <row r="134" spans="2:14" hidden="1">
      <c r="B134" s="458">
        <v>6</v>
      </c>
      <c r="C134" s="459" t="s">
        <v>1074</v>
      </c>
      <c r="D134" s="460"/>
      <c r="E134" s="460"/>
      <c r="F134" s="460"/>
      <c r="G134" s="460"/>
      <c r="J134" s="813"/>
    </row>
    <row r="135" spans="2:14" hidden="1">
      <c r="B135" s="458"/>
      <c r="C135" s="460"/>
      <c r="D135" s="460"/>
      <c r="E135" s="466" t="s">
        <v>68</v>
      </c>
      <c r="F135" s="466"/>
      <c r="G135" s="466" t="s">
        <v>1014</v>
      </c>
      <c r="H135" s="485"/>
      <c r="I135" s="482"/>
      <c r="J135" s="813"/>
      <c r="L135" s="871"/>
      <c r="M135" s="872"/>
    </row>
    <row r="136" spans="2:14" hidden="1">
      <c r="B136" s="458"/>
      <c r="C136" s="459"/>
      <c r="D136" s="460"/>
      <c r="E136" s="482">
        <v>0</v>
      </c>
      <c r="F136" s="158" t="str">
        <f>"- "&amp;E137</f>
        <v>- 150</v>
      </c>
      <c r="G136" s="482">
        <f>MROUND(E136*PKperKW,5)</f>
        <v>0</v>
      </c>
      <c r="H136" s="158" t="str">
        <f>"- "&amp;G137</f>
        <v>- 200</v>
      </c>
      <c r="J136" s="843">
        <v>500000</v>
      </c>
      <c r="K136" s="222" t="s">
        <v>1080</v>
      </c>
      <c r="L136" s="872">
        <v>13500</v>
      </c>
      <c r="M136" s="872"/>
    </row>
    <row r="137" spans="2:14" hidden="1">
      <c r="B137" s="458"/>
      <c r="C137" s="459"/>
      <c r="D137" s="460"/>
      <c r="E137" s="482">
        <v>150</v>
      </c>
      <c r="F137" s="222" t="s">
        <v>0</v>
      </c>
      <c r="G137" s="482">
        <f>MROUND(E137*PKperKW,5)</f>
        <v>200</v>
      </c>
      <c r="H137" s="222" t="s">
        <v>0</v>
      </c>
      <c r="J137" s="843">
        <v>570000</v>
      </c>
      <c r="K137" s="222" t="s">
        <v>1081</v>
      </c>
      <c r="L137" s="872">
        <v>12750</v>
      </c>
      <c r="M137" s="872"/>
    </row>
    <row r="138" spans="2:14" hidden="1">
      <c r="B138" s="458"/>
      <c r="C138" s="459"/>
      <c r="D138" s="460"/>
      <c r="E138" s="460"/>
      <c r="F138" s="460"/>
      <c r="G138" s="460"/>
      <c r="L138" s="872">
        <v>12000</v>
      </c>
      <c r="M138" s="872"/>
    </row>
    <row r="139" spans="2:14" hidden="1">
      <c r="B139" s="458">
        <v>7</v>
      </c>
      <c r="C139" s="459" t="s">
        <v>1087</v>
      </c>
      <c r="D139" s="460"/>
      <c r="E139" s="460"/>
      <c r="F139" s="460"/>
      <c r="G139" s="460"/>
      <c r="J139" s="843">
        <v>800000</v>
      </c>
      <c r="L139" s="872"/>
      <c r="M139" s="872"/>
    </row>
    <row r="140" spans="2:14" hidden="1">
      <c r="B140" s="458"/>
      <c r="C140" s="459"/>
      <c r="D140" s="460"/>
      <c r="E140" s="460"/>
      <c r="F140" s="460"/>
      <c r="G140" s="460"/>
    </row>
    <row r="141" spans="2:14" hidden="1">
      <c r="B141" s="458"/>
      <c r="C141" s="459"/>
      <c r="D141" s="460"/>
      <c r="E141" s="460"/>
      <c r="F141" s="460"/>
      <c r="G141" s="460"/>
    </row>
    <row r="142" spans="2:14" hidden="1">
      <c r="B142" s="466" t="s">
        <v>1015</v>
      </c>
      <c r="C142" s="460"/>
      <c r="D142" s="460"/>
      <c r="N142" s="460"/>
    </row>
    <row r="143" spans="2:14" hidden="1">
      <c r="B143" s="458"/>
      <c r="C143" s="460"/>
      <c r="D143" s="460"/>
    </row>
    <row r="144" spans="2:14" hidden="1">
      <c r="B144" s="458">
        <f>MAX($B$112:B143)+1</f>
        <v>8</v>
      </c>
      <c r="C144" s="459" t="s">
        <v>1016</v>
      </c>
      <c r="D144" s="460"/>
      <c r="E144" s="460"/>
      <c r="F144" s="460"/>
      <c r="G144" s="460"/>
    </row>
    <row r="145" spans="2:14" hidden="1">
      <c r="B145" s="458"/>
      <c r="C145" s="460"/>
      <c r="D145" s="460"/>
      <c r="E145" s="466" t="s">
        <v>68</v>
      </c>
      <c r="F145" s="466"/>
      <c r="G145" s="466" t="s">
        <v>1014</v>
      </c>
      <c r="H145" s="485"/>
      <c r="I145" s="482"/>
      <c r="L145" s="460"/>
    </row>
    <row r="146" spans="2:14" hidden="1">
      <c r="B146" s="458"/>
      <c r="C146" s="460"/>
      <c r="D146" s="460"/>
      <c r="E146" s="482">
        <v>0</v>
      </c>
      <c r="F146" s="158" t="str">
        <f>"- "&amp;E147</f>
        <v>- 100</v>
      </c>
      <c r="G146" s="482">
        <f>MROUND(E146*PKperKW,5)</f>
        <v>0</v>
      </c>
      <c r="H146" s="158" t="str">
        <f>"- "&amp;G147</f>
        <v>- 135</v>
      </c>
      <c r="J146" s="843">
        <v>14050</v>
      </c>
      <c r="K146" s="460" t="s">
        <v>61</v>
      </c>
      <c r="L146" s="460"/>
    </row>
    <row r="147" spans="2:14" hidden="1">
      <c r="B147" s="458"/>
      <c r="C147" s="460"/>
      <c r="D147" s="460"/>
      <c r="E147" s="482">
        <v>100</v>
      </c>
      <c r="F147" s="158" t="str">
        <f>"- "&amp;E148</f>
        <v>- 150</v>
      </c>
      <c r="G147" s="482">
        <f>MROUND(E147*PKperKW,5)</f>
        <v>135</v>
      </c>
      <c r="H147" s="158" t="str">
        <f>"- "&amp;G148</f>
        <v>- 200</v>
      </c>
      <c r="J147" s="843">
        <v>12750</v>
      </c>
      <c r="K147" s="460" t="s">
        <v>61</v>
      </c>
    </row>
    <row r="148" spans="2:14" hidden="1">
      <c r="E148" s="486">
        <v>150</v>
      </c>
      <c r="F148" s="222" t="s">
        <v>0</v>
      </c>
      <c r="G148" s="482">
        <f>MROUND(E148*PKperKW,5)</f>
        <v>200</v>
      </c>
      <c r="H148" s="222" t="s">
        <v>0</v>
      </c>
      <c r="J148" s="843">
        <v>11500</v>
      </c>
      <c r="K148" s="460" t="s">
        <v>61</v>
      </c>
    </row>
    <row r="149" spans="2:14" hidden="1">
      <c r="B149" s="458"/>
      <c r="C149" s="459"/>
      <c r="D149" s="460"/>
      <c r="E149" s="460"/>
      <c r="F149" s="460"/>
      <c r="G149" s="460"/>
    </row>
    <row r="150" spans="2:14" hidden="1">
      <c r="B150" s="458"/>
      <c r="C150" s="459"/>
      <c r="D150" s="460"/>
      <c r="E150" s="460"/>
      <c r="F150" s="460"/>
      <c r="G150" s="460"/>
    </row>
    <row r="151" spans="2:14" hidden="1">
      <c r="B151" s="466" t="s">
        <v>1017</v>
      </c>
      <c r="C151" s="460"/>
      <c r="D151" s="460"/>
      <c r="N151" s="460"/>
    </row>
    <row r="152" spans="2:14" hidden="1">
      <c r="B152" s="458"/>
      <c r="C152" s="460"/>
      <c r="D152" s="460"/>
    </row>
    <row r="153" spans="2:14" hidden="1">
      <c r="B153" s="458">
        <f>MAX($B$112:B152)+1</f>
        <v>9</v>
      </c>
      <c r="C153" s="459" t="s">
        <v>1019</v>
      </c>
      <c r="D153" s="460"/>
      <c r="E153" s="460"/>
      <c r="F153" s="460"/>
      <c r="G153" s="460"/>
    </row>
    <row r="154" spans="2:14" hidden="1">
      <c r="B154" s="458"/>
      <c r="C154" s="459"/>
      <c r="D154" s="460"/>
      <c r="E154" s="466" t="s">
        <v>68</v>
      </c>
      <c r="F154" s="466"/>
      <c r="G154" s="466" t="s">
        <v>1014</v>
      </c>
      <c r="H154" s="485"/>
      <c r="I154" s="482"/>
      <c r="L154" s="460"/>
    </row>
    <row r="155" spans="2:14" hidden="1">
      <c r="B155" s="458"/>
      <c r="C155" s="460"/>
      <c r="D155" s="460"/>
      <c r="E155" s="482">
        <v>0</v>
      </c>
      <c r="F155" s="158" t="str">
        <f>"- "&amp;E156</f>
        <v>- 150</v>
      </c>
      <c r="G155" s="482">
        <f>MROUND(E155*PKperKW,5)</f>
        <v>0</v>
      </c>
      <c r="H155" s="158" t="str">
        <f>"- "&amp;G156</f>
        <v>- 200</v>
      </c>
      <c r="J155" s="843">
        <v>24500</v>
      </c>
      <c r="K155" s="460" t="s">
        <v>61</v>
      </c>
      <c r="L155" s="460"/>
      <c r="N155" s="452"/>
    </row>
    <row r="156" spans="2:14" hidden="1">
      <c r="B156" s="458"/>
      <c r="C156" s="460"/>
      <c r="D156" s="460"/>
      <c r="E156" s="482">
        <v>150</v>
      </c>
      <c r="F156" s="158" t="str">
        <f>"- "&amp;E157</f>
        <v>- 200</v>
      </c>
      <c r="G156" s="482">
        <f>MROUND(E156*PKperKW,5)</f>
        <v>200</v>
      </c>
      <c r="H156" s="158" t="str">
        <f>"- "&amp;G157</f>
        <v>- 270</v>
      </c>
      <c r="J156" s="843">
        <v>23500</v>
      </c>
      <c r="K156" s="460" t="s">
        <v>61</v>
      </c>
      <c r="N156" s="452"/>
    </row>
    <row r="157" spans="2:14" hidden="1">
      <c r="E157" s="486">
        <v>200</v>
      </c>
      <c r="F157" s="222" t="s">
        <v>0</v>
      </c>
      <c r="G157" s="482">
        <f>MROUND(E157*PKperKW,5)</f>
        <v>270</v>
      </c>
      <c r="H157" s="222" t="s">
        <v>0</v>
      </c>
      <c r="J157" s="843">
        <v>22000</v>
      </c>
      <c r="K157" s="460" t="s">
        <v>61</v>
      </c>
      <c r="N157" s="452"/>
    </row>
    <row r="158" spans="2:14" hidden="1">
      <c r="E158" s="486"/>
      <c r="F158" s="222"/>
      <c r="G158" s="482"/>
      <c r="H158" s="222"/>
      <c r="K158" s="460"/>
      <c r="N158" s="452"/>
    </row>
    <row r="159" spans="2:14" hidden="1">
      <c r="B159" s="458">
        <f>MAX($B$112:B158)+1</f>
        <v>10</v>
      </c>
      <c r="C159" s="467" t="s">
        <v>1028</v>
      </c>
      <c r="D159" s="460"/>
      <c r="E159" s="460"/>
      <c r="F159" s="460"/>
      <c r="G159" s="460"/>
      <c r="J159" s="843">
        <v>31500</v>
      </c>
      <c r="K159" s="222" t="s">
        <v>1018</v>
      </c>
      <c r="N159" s="452"/>
    </row>
    <row r="160" spans="2:14" hidden="1">
      <c r="E160" s="486"/>
      <c r="F160" s="222"/>
      <c r="G160" s="482"/>
      <c r="H160" s="222"/>
      <c r="N160" s="452"/>
    </row>
    <row r="161" spans="2:18" hidden="1">
      <c r="E161" s="486"/>
      <c r="F161" s="222"/>
      <c r="G161" s="482"/>
      <c r="H161" s="222"/>
      <c r="N161" s="452"/>
    </row>
    <row r="162" spans="2:18" hidden="1">
      <c r="B162" s="466" t="s">
        <v>1020</v>
      </c>
      <c r="C162" s="460"/>
      <c r="D162" s="460"/>
      <c r="N162" s="460"/>
    </row>
    <row r="163" spans="2:18" hidden="1">
      <c r="B163" s="458"/>
      <c r="C163" s="460"/>
      <c r="D163" s="460"/>
      <c r="N163" s="452"/>
    </row>
    <row r="164" spans="2:18" hidden="1">
      <c r="B164" s="458">
        <f>MAX($B$112:B163)+1</f>
        <v>11</v>
      </c>
      <c r="C164" s="459" t="s">
        <v>1021</v>
      </c>
      <c r="D164" s="460"/>
      <c r="E164" s="460"/>
      <c r="F164" s="460"/>
      <c r="G164" s="460"/>
      <c r="J164" s="843">
        <v>16750</v>
      </c>
      <c r="K164" s="460" t="s">
        <v>61</v>
      </c>
      <c r="N164" s="452"/>
    </row>
    <row r="165" spans="2:18" hidden="1">
      <c r="B165" s="458"/>
      <c r="C165" s="459"/>
      <c r="D165" s="460"/>
      <c r="E165" s="460"/>
      <c r="F165" s="460"/>
      <c r="G165" s="460"/>
    </row>
    <row r="166" spans="2:18" hidden="1"/>
    <row r="167" spans="2:18" ht="22.5" hidden="1" customHeight="1" thickBot="1">
      <c r="B167" s="300" t="s">
        <v>444</v>
      </c>
      <c r="C167" s="301"/>
      <c r="D167" s="301"/>
      <c r="E167" s="301"/>
      <c r="F167" s="301"/>
      <c r="G167" s="301"/>
      <c r="H167" s="301"/>
      <c r="I167" s="301"/>
      <c r="J167" s="301"/>
      <c r="K167" s="301"/>
      <c r="L167" s="301"/>
      <c r="M167" s="301"/>
      <c r="N167" s="301"/>
      <c r="O167" s="301"/>
      <c r="P167" s="301"/>
      <c r="Q167" s="293"/>
      <c r="R167" s="460"/>
    </row>
    <row r="168" spans="2:18" hidden="1"/>
    <row r="169" spans="2:18" hidden="1">
      <c r="B169" s="466" t="s">
        <v>554</v>
      </c>
      <c r="C169" s="460"/>
      <c r="D169" s="460"/>
      <c r="E169" s="476"/>
      <c r="F169" s="460"/>
      <c r="G169" s="460"/>
      <c r="H169" s="460"/>
      <c r="I169" s="460"/>
      <c r="K169" s="460"/>
      <c r="L169" s="460"/>
      <c r="M169" s="460"/>
      <c r="N169" s="460"/>
      <c r="O169" s="460"/>
    </row>
    <row r="170" spans="2:18" hidden="1">
      <c r="B170" s="466"/>
      <c r="C170" s="460"/>
      <c r="D170" s="460"/>
      <c r="E170" s="476"/>
      <c r="F170" s="460"/>
      <c r="G170" s="460"/>
      <c r="H170" s="460"/>
      <c r="I170" s="460"/>
      <c r="K170" s="460"/>
      <c r="L170" s="460"/>
      <c r="M170" s="460"/>
      <c r="N170" s="460"/>
      <c r="O170" s="460"/>
    </row>
    <row r="171" spans="2:18" hidden="1">
      <c r="B171" s="458">
        <v>1</v>
      </c>
      <c r="C171" s="460" t="s">
        <v>526</v>
      </c>
      <c r="D171" s="460"/>
      <c r="F171" s="846">
        <v>1.5</v>
      </c>
      <c r="G171" s="460" t="s">
        <v>98</v>
      </c>
      <c r="H171" s="460"/>
      <c r="I171" s="460"/>
      <c r="K171" s="460"/>
      <c r="L171" s="460"/>
      <c r="M171" s="460"/>
      <c r="N171" s="460"/>
      <c r="O171" s="460"/>
    </row>
    <row r="172" spans="2:18" hidden="1">
      <c r="B172" s="458">
        <f>MAX($B$171:B171)+1</f>
        <v>2</v>
      </c>
      <c r="C172" s="460" t="s">
        <v>527</v>
      </c>
      <c r="D172" s="460"/>
      <c r="F172" s="487" t="s">
        <v>116</v>
      </c>
      <c r="G172" s="460" t="s">
        <v>99</v>
      </c>
      <c r="H172" s="460"/>
      <c r="I172" s="460"/>
      <c r="K172" s="460"/>
      <c r="L172" s="460"/>
      <c r="M172" s="460"/>
      <c r="N172" s="460"/>
      <c r="O172" s="460"/>
    </row>
    <row r="173" spans="2:18" hidden="1">
      <c r="B173" s="458">
        <f>MAX($B$171:B172)+1</f>
        <v>3</v>
      </c>
      <c r="C173" s="460" t="s">
        <v>79</v>
      </c>
      <c r="D173" s="460"/>
      <c r="F173" s="488"/>
      <c r="G173" s="460"/>
      <c r="H173" s="460"/>
      <c r="I173" s="460"/>
      <c r="K173" s="460"/>
      <c r="L173" s="460"/>
      <c r="M173" s="460"/>
      <c r="N173" s="460"/>
      <c r="O173" s="460"/>
    </row>
    <row r="174" spans="2:18" hidden="1">
      <c r="B174" s="458">
        <f>MAX($B$171:B173)+1</f>
        <v>4</v>
      </c>
      <c r="C174" s="460" t="s">
        <v>74</v>
      </c>
      <c r="D174" s="460"/>
      <c r="F174" s="460"/>
      <c r="G174" s="460"/>
      <c r="H174" s="460"/>
      <c r="I174" s="460"/>
      <c r="J174" s="460"/>
      <c r="K174" s="460"/>
      <c r="L174" s="460"/>
      <c r="M174" s="460"/>
      <c r="N174" s="460"/>
      <c r="O174" s="460"/>
    </row>
    <row r="175" spans="2:18" hidden="1">
      <c r="B175" s="458">
        <f>MAX($B$171:B174)+1</f>
        <v>5</v>
      </c>
      <c r="C175" s="459" t="s">
        <v>515</v>
      </c>
      <c r="D175" s="460"/>
      <c r="F175" s="460"/>
      <c r="G175" s="460"/>
      <c r="H175" s="475"/>
      <c r="I175" s="475"/>
      <c r="J175" s="476"/>
      <c r="K175" s="460"/>
      <c r="L175" s="480"/>
      <c r="M175" s="480"/>
      <c r="N175" s="460"/>
      <c r="O175" s="460"/>
    </row>
    <row r="176" spans="2:18" hidden="1">
      <c r="B176" s="458"/>
      <c r="C176" s="460"/>
      <c r="D176" s="460"/>
      <c r="F176" s="460"/>
      <c r="G176" s="460"/>
      <c r="H176" s="475"/>
      <c r="I176" s="475"/>
      <c r="J176" s="476"/>
      <c r="K176" s="460"/>
      <c r="L176" s="480"/>
      <c r="M176" s="480"/>
      <c r="N176" s="460"/>
      <c r="O176" s="460"/>
    </row>
    <row r="177" spans="2:19" hidden="1"/>
    <row r="178" spans="2:19" ht="22.5" hidden="1" customHeight="1" thickBot="1">
      <c r="B178" s="300" t="s">
        <v>512</v>
      </c>
      <c r="C178" s="301"/>
      <c r="D178" s="301"/>
      <c r="E178" s="301"/>
      <c r="F178" s="301"/>
      <c r="G178" s="301"/>
      <c r="H178" s="301"/>
      <c r="I178" s="301"/>
      <c r="J178" s="301"/>
      <c r="K178" s="301"/>
      <c r="L178" s="301"/>
      <c r="M178" s="301"/>
      <c r="N178" s="301"/>
      <c r="O178" s="301"/>
      <c r="P178" s="301"/>
      <c r="Q178" s="293"/>
      <c r="R178" s="460"/>
    </row>
    <row r="179" spans="2:19" hidden="1">
      <c r="B179" s="460"/>
      <c r="C179" s="460"/>
      <c r="D179" s="460"/>
      <c r="E179" s="460"/>
      <c r="F179" s="460"/>
      <c r="G179" s="460"/>
      <c r="H179" s="460"/>
      <c r="I179" s="460"/>
      <c r="J179" s="460"/>
      <c r="K179" s="460"/>
      <c r="L179" s="460"/>
      <c r="M179" s="460"/>
      <c r="N179" s="460"/>
    </row>
    <row r="180" spans="2:19" hidden="1">
      <c r="B180" s="466" t="s">
        <v>513</v>
      </c>
      <c r="C180" s="460"/>
      <c r="D180" s="460"/>
      <c r="E180" s="476"/>
      <c r="F180" s="460"/>
      <c r="I180" s="489"/>
      <c r="J180" s="460"/>
      <c r="K180" s="460"/>
      <c r="M180" s="460"/>
      <c r="N180" s="460"/>
      <c r="O180" s="460"/>
      <c r="Q180" s="460"/>
      <c r="R180" s="460"/>
      <c r="S180" s="519"/>
    </row>
    <row r="181" spans="2:19" hidden="1">
      <c r="B181" s="466"/>
      <c r="C181" s="460"/>
      <c r="D181" s="460"/>
      <c r="E181" s="476"/>
      <c r="F181" s="460"/>
      <c r="G181" s="460"/>
      <c r="H181" s="460"/>
      <c r="I181" s="460"/>
      <c r="J181" s="460"/>
      <c r="K181" s="460"/>
      <c r="M181" s="460"/>
      <c r="N181" s="460"/>
      <c r="O181" s="460"/>
      <c r="Q181" s="460"/>
      <c r="R181" s="460"/>
      <c r="S181" s="519"/>
    </row>
    <row r="182" spans="2:19" hidden="1">
      <c r="B182" s="458">
        <v>1</v>
      </c>
      <c r="C182" s="459" t="s">
        <v>1203</v>
      </c>
      <c r="D182" s="460"/>
      <c r="F182" s="846">
        <v>7.5</v>
      </c>
      <c r="G182" s="459" t="s">
        <v>1205</v>
      </c>
      <c r="J182" s="460"/>
      <c r="K182" s="460"/>
      <c r="M182" s="460"/>
      <c r="N182" s="460"/>
      <c r="O182" s="460"/>
      <c r="Q182" s="460"/>
      <c r="R182" s="460"/>
      <c r="S182" s="519"/>
    </row>
    <row r="183" spans="2:19" hidden="1">
      <c r="B183" s="458">
        <f>MAX($B$182:B182)+1</f>
        <v>2</v>
      </c>
      <c r="C183" s="459" t="s">
        <v>1204</v>
      </c>
      <c r="D183" s="460"/>
      <c r="F183" s="487" t="s">
        <v>116</v>
      </c>
      <c r="G183" s="459" t="s">
        <v>1206</v>
      </c>
      <c r="H183" s="460"/>
      <c r="I183" s="460"/>
      <c r="J183" s="460"/>
      <c r="K183" s="460"/>
      <c r="M183" s="460"/>
      <c r="N183" s="460"/>
      <c r="O183" s="460"/>
      <c r="Q183" s="460"/>
      <c r="R183" s="460"/>
      <c r="S183" s="519"/>
    </row>
    <row r="184" spans="2:19" hidden="1">
      <c r="B184" s="458">
        <f>MAX($B$182:B183)+1</f>
        <v>3</v>
      </c>
      <c r="C184" s="459" t="s">
        <v>1207</v>
      </c>
      <c r="D184" s="460"/>
      <c r="E184" s="488"/>
      <c r="F184" s="460"/>
      <c r="G184" s="460"/>
      <c r="H184" s="460"/>
      <c r="I184" s="460"/>
      <c r="J184" s="460"/>
      <c r="K184" s="460"/>
      <c r="M184" s="460"/>
      <c r="N184" s="460"/>
      <c r="O184" s="460"/>
      <c r="Q184" s="460"/>
      <c r="R184" s="460"/>
      <c r="S184" s="519"/>
    </row>
    <row r="185" spans="2:19" hidden="1"/>
    <row r="186" spans="2:19" hidden="1">
      <c r="B186" s="458">
        <f>MAX($B$182:B185)+1</f>
        <v>4</v>
      </c>
      <c r="C186" s="490" t="s">
        <v>158</v>
      </c>
      <c r="D186" s="490"/>
      <c r="E186" s="852">
        <v>10</v>
      </c>
      <c r="F186" s="490" t="s">
        <v>607</v>
      </c>
      <c r="I186" s="490"/>
      <c r="J186" s="490"/>
    </row>
    <row r="187" spans="2:19" hidden="1">
      <c r="B187" s="491"/>
      <c r="C187" s="492"/>
      <c r="D187" s="492"/>
      <c r="E187" s="492"/>
      <c r="F187" s="492"/>
      <c r="G187" s="492"/>
      <c r="H187" s="492"/>
      <c r="I187" s="492"/>
      <c r="J187" s="492"/>
      <c r="K187" s="461"/>
      <c r="L187" s="461"/>
      <c r="M187" s="461"/>
      <c r="N187" s="461"/>
      <c r="O187" s="461"/>
      <c r="P187" s="461"/>
      <c r="Q187" s="461"/>
      <c r="R187" s="511"/>
      <c r="S187" s="520"/>
    </row>
    <row r="188" spans="2:19" hidden="1">
      <c r="B188" s="458">
        <f>MAX($B$182:B187)+1</f>
        <v>5</v>
      </c>
      <c r="C188" s="493" t="s">
        <v>157</v>
      </c>
      <c r="D188" s="494"/>
      <c r="E188" s="495" t="s">
        <v>156</v>
      </c>
      <c r="F188" s="461"/>
      <c r="H188" s="492"/>
      <c r="I188" s="492"/>
      <c r="J188" s="492"/>
      <c r="K188" s="461"/>
      <c r="L188" s="461"/>
      <c r="M188" s="461"/>
      <c r="N188" s="461"/>
      <c r="O188" s="461"/>
      <c r="P188" s="461"/>
      <c r="Q188" s="461"/>
      <c r="R188" s="511"/>
      <c r="S188" s="520"/>
    </row>
    <row r="189" spans="2:19" hidden="1">
      <c r="B189" s="496"/>
      <c r="C189" s="492"/>
      <c r="D189" s="492"/>
      <c r="E189" s="492"/>
      <c r="F189" s="492"/>
      <c r="G189" s="497"/>
      <c r="H189" s="492"/>
      <c r="I189" s="492"/>
      <c r="J189" s="492"/>
      <c r="K189" s="461"/>
      <c r="L189" s="461"/>
      <c r="M189" s="461"/>
      <c r="N189" s="461"/>
      <c r="O189" s="461"/>
      <c r="P189" s="461"/>
      <c r="Q189" s="461"/>
      <c r="R189" s="511"/>
      <c r="S189" s="520"/>
    </row>
    <row r="190" spans="2:19" ht="15" hidden="1">
      <c r="B190" s="466" t="s">
        <v>144</v>
      </c>
      <c r="P190" s="504"/>
    </row>
    <row r="191" spans="2:19" ht="15" hidden="1">
      <c r="B191" s="466"/>
      <c r="P191" s="504"/>
    </row>
    <row r="192" spans="2:19" ht="15" hidden="1">
      <c r="B192" s="458">
        <f>MAX($B$182:B191)+1</f>
        <v>6</v>
      </c>
      <c r="C192" s="490" t="s">
        <v>164</v>
      </c>
      <c r="D192" s="468"/>
      <c r="E192" s="851">
        <v>1</v>
      </c>
      <c r="F192" s="222" t="s">
        <v>1208</v>
      </c>
      <c r="K192" s="472"/>
      <c r="O192" s="503"/>
    </row>
    <row r="193" spans="2:15" ht="15" hidden="1">
      <c r="B193" s="458"/>
      <c r="C193" s="468"/>
      <c r="D193" s="468"/>
      <c r="E193" s="468"/>
      <c r="F193" s="468"/>
      <c r="G193" s="468"/>
      <c r="K193" s="472"/>
      <c r="O193" s="503"/>
    </row>
    <row r="194" spans="2:15" ht="15" hidden="1">
      <c r="B194" s="458">
        <f>MAX($B$182:B193)+1</f>
        <v>7</v>
      </c>
      <c r="C194" s="468" t="s">
        <v>165</v>
      </c>
      <c r="D194" s="468"/>
      <c r="E194" s="850">
        <v>50000</v>
      </c>
      <c r="F194" s="490" t="s">
        <v>137</v>
      </c>
      <c r="I194" s="468"/>
      <c r="J194" s="468"/>
      <c r="K194" s="468"/>
      <c r="O194" s="503"/>
    </row>
    <row r="195" spans="2:15" ht="15" hidden="1">
      <c r="B195" s="458"/>
      <c r="C195" s="468"/>
      <c r="D195" s="468"/>
      <c r="E195" s="468"/>
      <c r="F195" s="468"/>
      <c r="I195" s="468"/>
      <c r="J195" s="468"/>
      <c r="K195" s="468"/>
      <c r="O195" s="503"/>
    </row>
    <row r="196" spans="2:15" ht="15" hidden="1">
      <c r="B196" s="458">
        <f>MAX($B$182:B195)+1</f>
        <v>8</v>
      </c>
      <c r="C196" s="468" t="s">
        <v>168</v>
      </c>
      <c r="D196" s="468"/>
      <c r="E196" s="468"/>
      <c r="F196" s="468"/>
      <c r="I196" s="468"/>
      <c r="J196" s="468"/>
      <c r="K196" s="468"/>
      <c r="O196" s="503"/>
    </row>
    <row r="197" spans="2:15" ht="15" hidden="1">
      <c r="B197" s="471"/>
      <c r="C197" s="501" t="s">
        <v>166</v>
      </c>
      <c r="F197" s="502" t="s">
        <v>167</v>
      </c>
      <c r="G197" s="505"/>
      <c r="H197" s="162"/>
      <c r="I197" s="162"/>
      <c r="J197" s="162"/>
      <c r="K197" s="245" t="s">
        <v>898</v>
      </c>
      <c r="O197" s="503"/>
    </row>
    <row r="198" spans="2:15" hidden="1">
      <c r="B198" s="471"/>
      <c r="C198" s="853" t="s">
        <v>1193</v>
      </c>
      <c r="F198" s="848">
        <v>1700</v>
      </c>
      <c r="G198" s="158" t="s">
        <v>136</v>
      </c>
      <c r="H198" s="489">
        <f>F198/$E$194</f>
        <v>3.4000000000000002E-2</v>
      </c>
      <c r="I198" s="222" t="s">
        <v>1088</v>
      </c>
      <c r="K198" s="512" t="s">
        <v>557</v>
      </c>
    </row>
    <row r="199" spans="2:15" hidden="1">
      <c r="B199" s="471"/>
      <c r="C199" s="506"/>
      <c r="D199" s="162"/>
      <c r="F199" s="461"/>
      <c r="G199" s="468"/>
      <c r="H199" s="468"/>
      <c r="I199" s="468"/>
      <c r="J199" s="468"/>
      <c r="K199" s="468"/>
    </row>
    <row r="200" spans="2:15" hidden="1">
      <c r="B200" s="466" t="s">
        <v>514</v>
      </c>
    </row>
    <row r="201" spans="2:15" hidden="1"/>
    <row r="202" spans="2:15" hidden="1">
      <c r="B202" s="458">
        <f>MAX($B$182:B201)+1</f>
        <v>9</v>
      </c>
      <c r="C202" s="513" t="s">
        <v>892</v>
      </c>
      <c r="D202" s="490"/>
      <c r="F202" s="490"/>
      <c r="J202" s="490"/>
    </row>
    <row r="203" spans="2:15" hidden="1">
      <c r="B203" s="458"/>
      <c r="C203" s="514" t="s">
        <v>894</v>
      </c>
      <c r="D203" s="490"/>
      <c r="F203" s="849">
        <v>50</v>
      </c>
      <c r="G203" s="222" t="s">
        <v>28</v>
      </c>
      <c r="J203" s="490"/>
    </row>
    <row r="204" spans="2:15" hidden="1">
      <c r="B204" s="458"/>
      <c r="C204" s="514" t="s">
        <v>895</v>
      </c>
      <c r="D204" s="490"/>
      <c r="F204" s="849">
        <v>60</v>
      </c>
      <c r="G204" s="222" t="s">
        <v>28</v>
      </c>
      <c r="J204" s="490"/>
    </row>
    <row r="205" spans="2:15" hidden="1">
      <c r="B205" s="458"/>
      <c r="C205" s="514" t="s">
        <v>893</v>
      </c>
      <c r="D205" s="490"/>
      <c r="F205" s="849">
        <v>48</v>
      </c>
      <c r="G205" s="222" t="s">
        <v>28</v>
      </c>
      <c r="J205" s="490"/>
    </row>
    <row r="206" spans="2:15" hidden="1">
      <c r="B206" s="458"/>
      <c r="C206" s="468"/>
      <c r="D206" s="490"/>
      <c r="F206" s="490"/>
      <c r="J206" s="490"/>
    </row>
    <row r="207" spans="2:15" hidden="1">
      <c r="B207" s="458">
        <f>MAX($B$182:B206)+1</f>
        <v>10</v>
      </c>
      <c r="C207" s="514" t="s">
        <v>1089</v>
      </c>
      <c r="D207" s="490"/>
      <c r="E207" s="849">
        <v>1.5</v>
      </c>
      <c r="F207" s="498" t="s">
        <v>609</v>
      </c>
      <c r="J207" s="499"/>
    </row>
    <row r="208" spans="2:15" hidden="1">
      <c r="B208" s="500"/>
      <c r="C208" s="490"/>
      <c r="D208" s="490"/>
      <c r="E208" s="849">
        <v>2</v>
      </c>
      <c r="F208" s="498" t="s">
        <v>610</v>
      </c>
      <c r="J208" s="499"/>
    </row>
    <row r="209" spans="2:19" hidden="1">
      <c r="B209" s="500"/>
      <c r="C209" s="490"/>
      <c r="D209" s="490"/>
      <c r="E209" s="490"/>
      <c r="F209" s="490"/>
      <c r="J209" s="499"/>
    </row>
    <row r="210" spans="2:19" hidden="1">
      <c r="B210" s="458">
        <f>MAX($B$182:B209)+1</f>
        <v>11</v>
      </c>
      <c r="C210" s="468" t="s">
        <v>165</v>
      </c>
      <c r="D210" s="490"/>
      <c r="E210" s="850">
        <v>45000</v>
      </c>
      <c r="F210" s="490" t="s">
        <v>137</v>
      </c>
      <c r="J210" s="490"/>
    </row>
    <row r="211" spans="2:19" hidden="1">
      <c r="B211" s="458"/>
      <c r="C211" s="468"/>
      <c r="D211" s="490"/>
      <c r="F211" s="490"/>
      <c r="J211" s="490"/>
    </row>
    <row r="212" spans="2:19" hidden="1">
      <c r="B212" s="458">
        <f>MAX($B$182:B211)+1</f>
        <v>12</v>
      </c>
      <c r="C212" s="468" t="s">
        <v>168</v>
      </c>
      <c r="D212" s="490"/>
      <c r="F212" s="490"/>
      <c r="J212" s="490"/>
    </row>
    <row r="213" spans="2:19" hidden="1">
      <c r="C213" s="501" t="s">
        <v>166</v>
      </c>
      <c r="E213" s="502"/>
    </row>
    <row r="214" spans="2:19" hidden="1">
      <c r="C214" s="158" t="s">
        <v>150</v>
      </c>
      <c r="F214" s="848">
        <v>2755</v>
      </c>
      <c r="G214" s="158" t="s">
        <v>136</v>
      </c>
      <c r="H214" s="489">
        <f>F214/$E$210</f>
        <v>6.122222222222222E-2</v>
      </c>
      <c r="I214" s="222" t="s">
        <v>1088</v>
      </c>
      <c r="L214" s="489"/>
      <c r="S214" s="518"/>
    </row>
    <row r="215" spans="2:19" hidden="1">
      <c r="C215" s="158" t="s">
        <v>151</v>
      </c>
      <c r="F215" s="848">
        <v>3450</v>
      </c>
      <c r="G215" s="158" t="s">
        <v>136</v>
      </c>
      <c r="H215" s="489">
        <f>F215/$E$210</f>
        <v>7.6666666666666661E-2</v>
      </c>
      <c r="I215" s="222" t="s">
        <v>1088</v>
      </c>
      <c r="L215" s="489"/>
    </row>
    <row r="216" spans="2:19" hidden="1">
      <c r="C216" s="158" t="s">
        <v>152</v>
      </c>
      <c r="F216" s="848">
        <v>4030</v>
      </c>
      <c r="G216" s="158" t="s">
        <v>136</v>
      </c>
      <c r="H216" s="489">
        <f>F216/$E$210</f>
        <v>8.9555555555555555E-2</v>
      </c>
      <c r="I216" s="222" t="s">
        <v>1088</v>
      </c>
      <c r="L216" s="489"/>
    </row>
    <row r="217" spans="2:19" ht="15" hidden="1">
      <c r="C217" s="158" t="s">
        <v>153</v>
      </c>
      <c r="F217" s="848">
        <v>4280</v>
      </c>
      <c r="G217" s="158" t="s">
        <v>136</v>
      </c>
      <c r="H217" s="489">
        <f>F217/$E$210</f>
        <v>9.5111111111111105E-2</v>
      </c>
      <c r="I217" s="222" t="s">
        <v>1088</v>
      </c>
      <c r="L217" s="489"/>
      <c r="O217" s="503"/>
    </row>
    <row r="218" spans="2:19" ht="15" hidden="1">
      <c r="C218" s="158" t="s">
        <v>154</v>
      </c>
      <c r="F218" s="848">
        <v>4100</v>
      </c>
      <c r="G218" s="158" t="s">
        <v>136</v>
      </c>
      <c r="H218" s="489">
        <f>F218/$E$210</f>
        <v>9.1111111111111115E-2</v>
      </c>
      <c r="I218" s="222" t="s">
        <v>1088</v>
      </c>
      <c r="L218" s="489"/>
      <c r="O218" s="503"/>
    </row>
    <row r="219" spans="2:19" ht="15" hidden="1">
      <c r="F219" s="461"/>
      <c r="O219" s="504"/>
    </row>
    <row r="220" spans="2:19" hidden="1"/>
    <row r="221" spans="2:19" hidden="1"/>
    <row r="222" spans="2:19" hidden="1"/>
    <row r="223" spans="2:19" hidden="1"/>
  </sheetData>
  <sheetProtection algorithmName="SHA-512" hashValue="AeBMiCdM1XUV5sn+eOzr0JflnXtlTKmzLt4Yi0In+o8dfNzwTR7cfWvC1U9hG6hAYmncKKf72+NxRkbPvQOyKQ==" saltValue="PLaI/c+F3ihQCB3OdlXtog==" spinCount="100000" sheet="1" objects="1" sort="0" autoFilter="0" pivotTables="0"/>
  <hyperlinks>
    <hyperlink ref="O48" r:id="rId1"/>
  </hyperlinks>
  <pageMargins left="0.51181102362204722" right="0.51181102362204722" top="0.39370078740157483" bottom="0.51181102362204722" header="0.31496062992125984" footer="0.31496062992125984"/>
  <pageSetup paperSize="9" scale="80" orientation="landscape" r:id="rId2"/>
  <rowBreaks count="1" manualBreakCount="1">
    <brk id="5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00FF"/>
  </sheetPr>
  <dimension ref="A1:XFB171"/>
  <sheetViews>
    <sheetView showGridLines="0" zoomScale="80" zoomScaleNormal="80" zoomScaleSheetLayoutView="80" workbookViewId="0">
      <pane ySplit="8" topLeftCell="A9" activePane="bottomLeft" state="frozen"/>
      <selection activeCell="E241" sqref="E241"/>
      <selection pane="bottomLeft" activeCell="A9" sqref="A9"/>
    </sheetView>
  </sheetViews>
  <sheetFormatPr defaultColWidth="0" defaultRowHeight="12.75" zeroHeight="1"/>
  <cols>
    <col min="1" max="1" width="4.77734375" style="30" customWidth="1"/>
    <col min="2" max="2" width="5.21875" style="5" customWidth="1"/>
    <col min="3" max="5" width="4.33203125" style="5" customWidth="1"/>
    <col min="6" max="6" width="10.109375" style="5" bestFit="1" customWidth="1"/>
    <col min="7" max="7" width="8.21875" style="5" customWidth="1"/>
    <col min="8" max="8" width="8.88671875" style="5" customWidth="1"/>
    <col min="9" max="10" width="7.77734375" style="5" customWidth="1"/>
    <col min="11" max="11" width="9" style="5" customWidth="1"/>
    <col min="12" max="21" width="7.21875" style="5" customWidth="1"/>
    <col min="22" max="22" width="1.21875" style="5" customWidth="1"/>
    <col min="23" max="23" width="6.77734375" style="69" customWidth="1"/>
    <col min="24" max="24" width="7.33203125" style="69" customWidth="1"/>
    <col min="25" max="25" width="4.44140625" style="69" customWidth="1"/>
    <col min="26" max="26" width="1.21875" style="5" customWidth="1"/>
    <col min="27" max="29" width="6.6640625" style="69" customWidth="1"/>
    <col min="30" max="30" width="0" style="69" hidden="1" customWidth="1"/>
    <col min="31" max="16382" width="8.88671875" style="69" hidden="1"/>
    <col min="16383" max="16384" width="2.109375" style="69" customWidth="1"/>
  </cols>
  <sheetData>
    <row r="1" spans="1:29"/>
    <row r="2" spans="1:29" s="452" customFormat="1" ht="30" customHeight="1" thickBot="1">
      <c r="A2" s="31"/>
      <c r="B2" s="329" t="s">
        <v>351</v>
      </c>
      <c r="C2" s="330"/>
      <c r="D2" s="330"/>
      <c r="E2" s="330"/>
      <c r="F2" s="330"/>
      <c r="G2" s="330"/>
      <c r="H2" s="330"/>
      <c r="I2" s="330"/>
      <c r="J2" s="330"/>
      <c r="K2" s="330"/>
      <c r="L2" s="330"/>
      <c r="M2" s="330"/>
      <c r="N2" s="330"/>
      <c r="O2" s="330"/>
      <c r="P2" s="330"/>
      <c r="Q2" s="330"/>
      <c r="R2" s="330"/>
      <c r="S2" s="330"/>
      <c r="T2" s="330"/>
      <c r="U2" s="331"/>
      <c r="V2" s="158"/>
      <c r="Z2" s="158"/>
    </row>
    <row r="3" spans="1:29">
      <c r="C3" s="2"/>
      <c r="D3" s="2"/>
      <c r="E3" s="2"/>
      <c r="F3" s="2"/>
      <c r="G3" s="2"/>
      <c r="H3" s="2"/>
      <c r="I3" s="2"/>
      <c r="J3" s="2"/>
      <c r="K3" s="2"/>
      <c r="L3" s="2"/>
      <c r="M3" s="2"/>
      <c r="N3" s="2"/>
      <c r="O3" s="2"/>
      <c r="P3" s="2"/>
      <c r="Q3" s="2"/>
      <c r="R3" s="2"/>
      <c r="S3" s="2"/>
      <c r="T3" s="2"/>
      <c r="U3" s="2"/>
    </row>
    <row r="4" spans="1:29" ht="15" customHeight="1">
      <c r="A4" s="30" t="str">
        <f>IF(ISNUMBER(D4),ROW(),"")</f>
        <v/>
      </c>
      <c r="C4" s="991"/>
      <c r="D4" s="992"/>
      <c r="E4" s="46"/>
      <c r="F4" s="25"/>
      <c r="G4" s="985" t="s">
        <v>94</v>
      </c>
      <c r="H4" s="986"/>
      <c r="I4" s="986"/>
      <c r="J4" s="987"/>
      <c r="K4" s="972" t="s">
        <v>93</v>
      </c>
      <c r="L4" s="973"/>
      <c r="M4" s="973"/>
      <c r="N4" s="973"/>
      <c r="O4" s="973"/>
      <c r="P4" s="973"/>
      <c r="Q4" s="974"/>
      <c r="R4" s="972" t="s">
        <v>92</v>
      </c>
      <c r="S4" s="973"/>
      <c r="T4" s="973"/>
      <c r="U4" s="974"/>
      <c r="W4" s="972" t="s">
        <v>78</v>
      </c>
      <c r="X4" s="973"/>
      <c r="Y4" s="974"/>
      <c r="AA4" s="972" t="s">
        <v>940</v>
      </c>
      <c r="AB4" s="973"/>
      <c r="AC4" s="974"/>
    </row>
    <row r="5" spans="1:29" ht="15" customHeight="1">
      <c r="A5" s="45"/>
      <c r="C5" s="975" t="s">
        <v>44</v>
      </c>
      <c r="D5" s="977" t="s">
        <v>47</v>
      </c>
      <c r="E5" s="24" t="s">
        <v>148</v>
      </c>
      <c r="F5" s="979" t="s">
        <v>73</v>
      </c>
      <c r="G5" s="975" t="s">
        <v>48</v>
      </c>
      <c r="H5" s="977" t="s">
        <v>49</v>
      </c>
      <c r="I5" s="977" t="s">
        <v>50</v>
      </c>
      <c r="J5" s="983" t="s">
        <v>39</v>
      </c>
      <c r="K5" s="975" t="s">
        <v>51</v>
      </c>
      <c r="L5" s="3"/>
      <c r="M5" s="3" t="s">
        <v>45</v>
      </c>
      <c r="N5" s="3"/>
      <c r="O5" s="981" t="s">
        <v>39</v>
      </c>
      <c r="P5" s="981"/>
      <c r="Q5" s="982"/>
      <c r="R5" s="988"/>
      <c r="S5" s="989"/>
      <c r="T5" s="989"/>
      <c r="U5" s="990"/>
      <c r="W5" s="975" t="s">
        <v>76</v>
      </c>
      <c r="X5" s="977" t="s">
        <v>75</v>
      </c>
      <c r="Y5" s="979" t="s">
        <v>237</v>
      </c>
      <c r="AA5" s="527"/>
      <c r="AB5" s="523" t="s">
        <v>45</v>
      </c>
      <c r="AC5" s="524"/>
    </row>
    <row r="6" spans="1:29">
      <c r="A6" s="31" t="s">
        <v>72</v>
      </c>
      <c r="C6" s="976"/>
      <c r="D6" s="978"/>
      <c r="E6" s="66"/>
      <c r="F6" s="980"/>
      <c r="G6" s="976"/>
      <c r="H6" s="978"/>
      <c r="I6" s="978"/>
      <c r="J6" s="984"/>
      <c r="K6" s="976"/>
      <c r="L6" s="140" t="s">
        <v>112</v>
      </c>
      <c r="M6" s="140" t="s">
        <v>113</v>
      </c>
      <c r="N6" s="143" t="s">
        <v>135</v>
      </c>
      <c r="O6" s="144" t="str">
        <f>L6</f>
        <v>Laag</v>
      </c>
      <c r="P6" s="144" t="str">
        <f>M6</f>
        <v>Medium</v>
      </c>
      <c r="Q6" s="141" t="str">
        <f>N6</f>
        <v>Hoog</v>
      </c>
      <c r="R6" s="55" t="s">
        <v>43</v>
      </c>
      <c r="S6" s="144" t="str">
        <f>O6</f>
        <v>Laag</v>
      </c>
      <c r="T6" s="55" t="str">
        <f>P6</f>
        <v>Medium</v>
      </c>
      <c r="U6" s="56" t="str">
        <f>Q6</f>
        <v>Hoog</v>
      </c>
      <c r="W6" s="976"/>
      <c r="X6" s="978"/>
      <c r="Y6" s="980"/>
      <c r="AA6" s="522" t="s">
        <v>112</v>
      </c>
      <c r="AB6" s="525" t="s">
        <v>113</v>
      </c>
      <c r="AC6" s="526" t="s">
        <v>135</v>
      </c>
    </row>
    <row r="7" spans="1:29">
      <c r="A7" s="30" t="str">
        <f>IF(ISNUMBER(D7),ROW(),"")</f>
        <v/>
      </c>
      <c r="B7" s="16"/>
      <c r="C7" s="32"/>
      <c r="D7" s="18"/>
      <c r="E7" s="18"/>
      <c r="F7" s="18" t="s">
        <v>52</v>
      </c>
      <c r="G7" s="41" t="s">
        <v>523</v>
      </c>
      <c r="H7" s="42" t="s">
        <v>523</v>
      </c>
      <c r="I7" s="42" t="s">
        <v>523</v>
      </c>
      <c r="J7" s="61" t="s">
        <v>523</v>
      </c>
      <c r="K7" s="18" t="s">
        <v>523</v>
      </c>
      <c r="L7" s="18" t="s">
        <v>523</v>
      </c>
      <c r="M7" s="18" t="s">
        <v>523</v>
      </c>
      <c r="N7" s="54" t="s">
        <v>523</v>
      </c>
      <c r="O7" s="50" t="s">
        <v>523</v>
      </c>
      <c r="P7" s="50" t="s">
        <v>523</v>
      </c>
      <c r="Q7" s="142" t="s">
        <v>523</v>
      </c>
      <c r="R7" s="51" t="s">
        <v>523</v>
      </c>
      <c r="S7" s="52" t="s">
        <v>523</v>
      </c>
      <c r="T7" s="52" t="s">
        <v>523</v>
      </c>
      <c r="U7" s="53" t="s">
        <v>523</v>
      </c>
      <c r="W7" s="41" t="s">
        <v>77</v>
      </c>
      <c r="X7" s="42" t="s">
        <v>77</v>
      </c>
      <c r="Y7" s="43" t="s">
        <v>28</v>
      </c>
      <c r="AA7" s="530" t="s">
        <v>547</v>
      </c>
      <c r="AB7" s="18" t="s">
        <v>547</v>
      </c>
      <c r="AC7" s="529" t="s">
        <v>547</v>
      </c>
    </row>
    <row r="8" spans="1:29">
      <c r="A8" s="30" t="str">
        <f>IF(ISNUMBER(D8),ROW(),"")</f>
        <v/>
      </c>
      <c r="B8" s="16"/>
      <c r="C8" s="2"/>
      <c r="D8" s="2"/>
      <c r="E8" s="2"/>
      <c r="F8" s="2"/>
      <c r="G8" s="2"/>
      <c r="H8" s="2"/>
      <c r="I8" s="2"/>
      <c r="J8" s="2"/>
      <c r="K8" s="2"/>
      <c r="L8" s="2"/>
      <c r="M8" s="2"/>
      <c r="N8" s="2"/>
      <c r="O8" s="2"/>
      <c r="P8" s="2"/>
      <c r="Q8" s="2"/>
      <c r="R8" s="2"/>
      <c r="S8" s="2"/>
      <c r="T8" s="2"/>
      <c r="U8" s="2"/>
      <c r="V8" s="16"/>
      <c r="Z8" s="16"/>
    </row>
    <row r="9" spans="1:29" s="452" customFormat="1" ht="23.25" customHeight="1" thickBot="1">
      <c r="A9" s="31"/>
      <c r="B9" s="287">
        <f>ROUNDDOWN(MAX($B$8:B8),0)+1</f>
        <v>1</v>
      </c>
      <c r="C9" s="300" t="s">
        <v>46</v>
      </c>
      <c r="D9" s="301"/>
      <c r="E9" s="301"/>
      <c r="F9" s="301"/>
      <c r="G9" s="301"/>
      <c r="H9" s="301"/>
      <c r="I9" s="301"/>
      <c r="J9" s="301"/>
      <c r="K9" s="301"/>
      <c r="L9" s="301"/>
      <c r="M9" s="301"/>
      <c r="N9" s="301"/>
      <c r="O9" s="301"/>
      <c r="P9" s="301"/>
      <c r="Q9" s="301"/>
      <c r="R9" s="289"/>
      <c r="S9" s="301"/>
      <c r="T9" s="301"/>
      <c r="U9" s="302"/>
      <c r="V9" s="158"/>
      <c r="W9" s="300"/>
      <c r="X9" s="301"/>
      <c r="Y9" s="302"/>
      <c r="Z9" s="158"/>
      <c r="AA9" s="300"/>
      <c r="AB9" s="301"/>
      <c r="AC9" s="302"/>
    </row>
    <row r="10" spans="1:29" ht="7.5" customHeight="1">
      <c r="A10" s="30" t="str">
        <f>IF(ISNUMBER(D10),ROW(),"")</f>
        <v/>
      </c>
      <c r="B10" s="16"/>
      <c r="C10" s="618"/>
      <c r="D10" s="220"/>
      <c r="E10" s="220"/>
      <c r="F10" s="621"/>
      <c r="G10" s="624"/>
      <c r="H10" s="624"/>
      <c r="I10" s="624"/>
      <c r="J10" s="624"/>
      <c r="K10" s="624"/>
      <c r="L10" s="624"/>
      <c r="M10" s="624"/>
      <c r="N10" s="624"/>
      <c r="O10" s="624"/>
      <c r="P10" s="624"/>
      <c r="Q10" s="624"/>
      <c r="R10" s="624"/>
      <c r="S10" s="624"/>
      <c r="T10" s="624"/>
      <c r="U10" s="625"/>
      <c r="W10" s="219"/>
      <c r="X10" s="220"/>
      <c r="Y10" s="221"/>
      <c r="AA10" s="219"/>
      <c r="AB10" s="220"/>
      <c r="AC10" s="221"/>
    </row>
    <row r="11" spans="1:29">
      <c r="A11" s="30">
        <f>IF(ISNUMBER(D11),ROW(),"")</f>
        <v>11</v>
      </c>
      <c r="B11" s="16"/>
      <c r="C11" s="617">
        <v>10</v>
      </c>
      <c r="D11" s="12">
        <f t="shared" ref="D11:D32" si="0">C11*PKperKW</f>
        <v>13.410220895950282</v>
      </c>
      <c r="E11" s="12" t="s">
        <v>130</v>
      </c>
      <c r="F11" s="620">
        <f>MROUND(C11*((C11-INDEX(Aannames!$E$99:$E$105,MATCH(C11,Aannames!$E$99:$E$105,1)))/(INDEX(Aannames!$E$99:$E$105,MATCH(C11,Aannames!$E$99:$E$105,1)+1)-INDEX(Aannames!$E$99:$E$105,MATCH(C11,Aannames!$E$99:$E$105,1)))*INDEX(Aannames!$J$99:$J$105,MATCH(C11,Aannames!$E$99:$E$105,1)+1)
+(INDEX(Aannames!$E$99:$E$105,MATCH(C11,Aannames!$E$99:$E$105,1)+1)-C11)/(INDEX(Aannames!$E$99:$E$105,MATCH(C11,Aannames!$E$99:$E$105,1)+1)-INDEX(Aannames!$E$99:$E$105,MATCH(C11,Aannames!$E$99:$E$105,1)))*INDEX(Aannames!$J$99:$J$105,MATCH(C11,Aannames!$E$99:$E$105,1))),500)</f>
        <v>71000</v>
      </c>
      <c r="G11" s="594">
        <f t="shared" ref="G11:G32" si="1">MROUND($F11*(1-$G$126/100)/W11,0.05)</f>
        <v>6.4</v>
      </c>
      <c r="H11" s="594">
        <f t="shared" ref="H11:H32" si="2">MROUND($F11*(1+$G$126/100)/2*$H$134/100/$X11,0.05)</f>
        <v>0.9</v>
      </c>
      <c r="I11" s="600">
        <f t="shared" ref="I11:I32" si="3">MROUND($F11*(1+$G$126/100)/2*$G$127/100/X11,0.05)</f>
        <v>5.45</v>
      </c>
      <c r="J11" s="601">
        <f>SUM(G11:I11)</f>
        <v>12.75</v>
      </c>
      <c r="K11" s="594">
        <f>MROUND($F11*Y11/100/W11,0.05)</f>
        <v>7.1000000000000005</v>
      </c>
      <c r="L11" s="594">
        <f t="shared" ref="L11:L32" si="4">MROUND($C11*$L$141*$G$128,0.05)</f>
        <v>17.2</v>
      </c>
      <c r="M11" s="594">
        <f t="shared" ref="M11:M32" si="5">MROUND($C11*$L$142*$G$128,0.05)</f>
        <v>19.350000000000001</v>
      </c>
      <c r="N11" s="600">
        <f t="shared" ref="N11:N32" si="6">MROUND($C11*$L$143*$G$128,0.05)</f>
        <v>22.150000000000002</v>
      </c>
      <c r="O11" s="596">
        <f>SUM($K11,L11)</f>
        <v>24.3</v>
      </c>
      <c r="P11" s="596">
        <f>SUM($K11,M11)</f>
        <v>26.450000000000003</v>
      </c>
      <c r="Q11" s="601">
        <f>SUM($K11,N11)</f>
        <v>29.250000000000004</v>
      </c>
      <c r="R11" s="594">
        <f>J11+K11</f>
        <v>19.850000000000001</v>
      </c>
      <c r="S11" s="596">
        <f>SUM($J11,O11)</f>
        <v>37.049999999999997</v>
      </c>
      <c r="T11" s="596">
        <f>SUM($J11,P11)</f>
        <v>39.200000000000003</v>
      </c>
      <c r="U11" s="599">
        <f>SUM($J11,Q11)</f>
        <v>42</v>
      </c>
      <c r="W11" s="34">
        <f>$H$137</f>
        <v>10000</v>
      </c>
      <c r="X11" s="857">
        <f t="shared" ref="X11:X32" si="7">IF(C11&lt;=180,$H$138,IF(C11&gt;180,$H$139,"-"))</f>
        <v>750</v>
      </c>
      <c r="Y11" s="528">
        <v>100</v>
      </c>
      <c r="AA11" s="531">
        <f t="shared" ref="AA11:AA32" si="8">C11*$L$141</f>
        <v>1.4</v>
      </c>
      <c r="AB11" s="115">
        <f t="shared" ref="AB11:AB32" si="9">C11*$L$142</f>
        <v>1.575</v>
      </c>
      <c r="AC11" s="532">
        <f t="shared" ref="AC11:AC32" si="10">C11*$L$143</f>
        <v>1.7999999999999998</v>
      </c>
    </row>
    <row r="12" spans="1:29">
      <c r="A12" s="130">
        <f t="shared" ref="A12:A34" si="11">IF(ISNUMBER(D12),ROW(),"")</f>
        <v>12</v>
      </c>
      <c r="B12" s="16"/>
      <c r="C12" s="617">
        <f>C11+5</f>
        <v>15</v>
      </c>
      <c r="D12" s="12">
        <f t="shared" si="0"/>
        <v>20.115331343925423</v>
      </c>
      <c r="E12" s="12" t="s">
        <v>130</v>
      </c>
      <c r="F12" s="620">
        <f>MROUND(C12*((C12-INDEX(Aannames!$E$99:$E$105,MATCH(C12,Aannames!$E$99:$E$105,1)))/(INDEX(Aannames!$E$99:$E$105,MATCH(C12,Aannames!$E$99:$E$105,1)+1)-INDEX(Aannames!$E$99:$E$105,MATCH(C12,Aannames!$E$99:$E$105,1)))*INDEX(Aannames!$J$99:$J$105,MATCH(C12,Aannames!$E$99:$E$105,1)+1)
+(INDEX(Aannames!$E$99:$E$105,MATCH(C12,Aannames!$E$99:$E$105,1)+1)-C12)/(INDEX(Aannames!$E$99:$E$105,MATCH(C12,Aannames!$E$99:$E$105,1)+1)-INDEX(Aannames!$E$99:$E$105,MATCH(C12,Aannames!$E$99:$E$105,1)))*INDEX(Aannames!$J$99:$J$105,MATCH(C12,Aannames!$E$99:$E$105,1))),500)</f>
        <v>108500</v>
      </c>
      <c r="G12" s="594">
        <f t="shared" si="1"/>
        <v>9.75</v>
      </c>
      <c r="H12" s="594">
        <f t="shared" si="2"/>
        <v>1.4000000000000001</v>
      </c>
      <c r="I12" s="600">
        <f t="shared" si="3"/>
        <v>8.35</v>
      </c>
      <c r="J12" s="601">
        <f t="shared" ref="J12:J31" si="12">SUM(G12:I12)</f>
        <v>19.5</v>
      </c>
      <c r="K12" s="594">
        <f t="shared" ref="K12:K32" si="13">MROUND($F12*Y12/100/W12,0.05)</f>
        <v>10.850000000000001</v>
      </c>
      <c r="L12" s="594">
        <f t="shared" si="4"/>
        <v>25.85</v>
      </c>
      <c r="M12" s="594">
        <f t="shared" si="5"/>
        <v>29.05</v>
      </c>
      <c r="N12" s="600">
        <f t="shared" si="6"/>
        <v>33.200000000000003</v>
      </c>
      <c r="O12" s="596">
        <f t="shared" ref="O12:O31" si="14">SUM($K12,L12)</f>
        <v>36.700000000000003</v>
      </c>
      <c r="P12" s="596">
        <f t="shared" ref="P12:P31" si="15">SUM($K12,M12)</f>
        <v>39.900000000000006</v>
      </c>
      <c r="Q12" s="601">
        <f t="shared" ref="Q12:Q31" si="16">SUM($K12,N12)</f>
        <v>44.050000000000004</v>
      </c>
      <c r="R12" s="594">
        <f t="shared" ref="R12:R31" si="17">J12+K12</f>
        <v>30.35</v>
      </c>
      <c r="S12" s="596">
        <f t="shared" ref="S12:S31" si="18">SUM($J12,O12)</f>
        <v>56.2</v>
      </c>
      <c r="T12" s="596">
        <f t="shared" ref="T12:T31" si="19">SUM($J12,P12)</f>
        <v>59.400000000000006</v>
      </c>
      <c r="U12" s="599">
        <f t="shared" ref="U12:U31" si="20">SUM($J12,Q12)</f>
        <v>63.550000000000004</v>
      </c>
      <c r="W12" s="34">
        <f t="shared" ref="W12:W32" si="21">$H$137</f>
        <v>10000</v>
      </c>
      <c r="X12" s="857">
        <f t="shared" si="7"/>
        <v>750</v>
      </c>
      <c r="Y12" s="528">
        <v>100</v>
      </c>
      <c r="AA12" s="531">
        <f t="shared" si="8"/>
        <v>2.0999999999999996</v>
      </c>
      <c r="AB12" s="115">
        <f t="shared" si="9"/>
        <v>2.3624999999999998</v>
      </c>
      <c r="AC12" s="532">
        <f t="shared" si="10"/>
        <v>2.6999999999999997</v>
      </c>
    </row>
    <row r="13" spans="1:29">
      <c r="A13" s="130">
        <f t="shared" si="11"/>
        <v>13</v>
      </c>
      <c r="B13" s="16"/>
      <c r="C13" s="617">
        <f t="shared" ref="C13:C32" si="22">C12+5</f>
        <v>20</v>
      </c>
      <c r="D13" s="12">
        <f t="shared" si="0"/>
        <v>26.820441791900564</v>
      </c>
      <c r="E13" s="12" t="s">
        <v>130</v>
      </c>
      <c r="F13" s="620">
        <f>MROUND(C13*((C13-INDEX(Aannames!$E$99:$E$105,MATCH(C13,Aannames!$E$99:$E$105,1)))/(INDEX(Aannames!$E$99:$E$105,MATCH(C13,Aannames!$E$99:$E$105,1)+1)-INDEX(Aannames!$E$99:$E$105,MATCH(C13,Aannames!$E$99:$E$105,1)))*INDEX(Aannames!$J$99:$J$105,MATCH(C13,Aannames!$E$99:$E$105,1)+1)
+(INDEX(Aannames!$E$99:$E$105,MATCH(C13,Aannames!$E$99:$E$105,1)+1)-C13)/(INDEX(Aannames!$E$99:$E$105,MATCH(C13,Aannames!$E$99:$E$105,1)+1)-INDEX(Aannames!$E$99:$E$105,MATCH(C13,Aannames!$E$99:$E$105,1)))*INDEX(Aannames!$J$99:$J$105,MATCH(C13,Aannames!$E$99:$E$105,1))),500)</f>
        <v>146500</v>
      </c>
      <c r="G13" s="594">
        <f t="shared" si="1"/>
        <v>13.200000000000001</v>
      </c>
      <c r="H13" s="594">
        <f t="shared" si="2"/>
        <v>1.9000000000000001</v>
      </c>
      <c r="I13" s="600">
        <f t="shared" si="3"/>
        <v>11.3</v>
      </c>
      <c r="J13" s="601">
        <f t="shared" si="12"/>
        <v>26.400000000000002</v>
      </c>
      <c r="K13" s="594">
        <f t="shared" si="13"/>
        <v>14.65</v>
      </c>
      <c r="L13" s="594">
        <f t="shared" si="4"/>
        <v>34.450000000000003</v>
      </c>
      <c r="M13" s="594">
        <f t="shared" si="5"/>
        <v>38.75</v>
      </c>
      <c r="N13" s="600">
        <f t="shared" si="6"/>
        <v>44.300000000000004</v>
      </c>
      <c r="O13" s="596">
        <f t="shared" si="14"/>
        <v>49.1</v>
      </c>
      <c r="P13" s="596">
        <f t="shared" si="15"/>
        <v>53.4</v>
      </c>
      <c r="Q13" s="601">
        <f t="shared" si="16"/>
        <v>58.95</v>
      </c>
      <c r="R13" s="594">
        <f t="shared" si="17"/>
        <v>41.050000000000004</v>
      </c>
      <c r="S13" s="596">
        <f t="shared" si="18"/>
        <v>75.5</v>
      </c>
      <c r="T13" s="596">
        <f t="shared" si="19"/>
        <v>79.8</v>
      </c>
      <c r="U13" s="599">
        <f t="shared" si="20"/>
        <v>85.350000000000009</v>
      </c>
      <c r="W13" s="34">
        <f t="shared" si="21"/>
        <v>10000</v>
      </c>
      <c r="X13" s="857">
        <f t="shared" si="7"/>
        <v>750</v>
      </c>
      <c r="Y13" s="528">
        <v>100</v>
      </c>
      <c r="AA13" s="531">
        <f t="shared" si="8"/>
        <v>2.8</v>
      </c>
      <c r="AB13" s="115">
        <f t="shared" si="9"/>
        <v>3.15</v>
      </c>
      <c r="AC13" s="532">
        <f t="shared" si="10"/>
        <v>3.5999999999999996</v>
      </c>
    </row>
    <row r="14" spans="1:29">
      <c r="A14" s="130">
        <f t="shared" si="11"/>
        <v>14</v>
      </c>
      <c r="B14" s="16"/>
      <c r="C14" s="617">
        <f t="shared" si="22"/>
        <v>25</v>
      </c>
      <c r="D14" s="12">
        <f t="shared" si="0"/>
        <v>33.525552239875708</v>
      </c>
      <c r="E14" s="12" t="s">
        <v>130</v>
      </c>
      <c r="F14" s="620">
        <f>MROUND(C14*((C14-INDEX(Aannames!$E$99:$E$105,MATCH(C14,Aannames!$E$99:$E$105,1)))/(INDEX(Aannames!$E$99:$E$105,MATCH(C14,Aannames!$E$99:$E$105,1)+1)-INDEX(Aannames!$E$99:$E$105,MATCH(C14,Aannames!$E$99:$E$105,1)))*INDEX(Aannames!$J$99:$J$105,MATCH(C14,Aannames!$E$99:$E$105,1)+1)
+(INDEX(Aannames!$E$99:$E$105,MATCH(C14,Aannames!$E$99:$E$105,1)+1)-C14)/(INDEX(Aannames!$E$99:$E$105,MATCH(C14,Aannames!$E$99:$E$105,1)+1)-INDEX(Aannames!$E$99:$E$105,MATCH(C14,Aannames!$E$99:$E$105,1)))*INDEX(Aannames!$J$99:$J$105,MATCH(C14,Aannames!$E$99:$E$105,1))),500)</f>
        <v>186500</v>
      </c>
      <c r="G14" s="594">
        <f t="shared" si="1"/>
        <v>16.8</v>
      </c>
      <c r="H14" s="594">
        <f t="shared" si="2"/>
        <v>2.4000000000000004</v>
      </c>
      <c r="I14" s="600">
        <f t="shared" si="3"/>
        <v>14.350000000000001</v>
      </c>
      <c r="J14" s="601">
        <f t="shared" si="12"/>
        <v>33.550000000000004</v>
      </c>
      <c r="K14" s="594">
        <f t="shared" si="13"/>
        <v>18.650000000000002</v>
      </c>
      <c r="L14" s="594">
        <f t="shared" si="4"/>
        <v>43.050000000000004</v>
      </c>
      <c r="M14" s="594">
        <f t="shared" si="5"/>
        <v>48.45</v>
      </c>
      <c r="N14" s="600">
        <f t="shared" si="6"/>
        <v>55.35</v>
      </c>
      <c r="O14" s="596">
        <f t="shared" si="14"/>
        <v>61.7</v>
      </c>
      <c r="P14" s="596">
        <f t="shared" si="15"/>
        <v>67.100000000000009</v>
      </c>
      <c r="Q14" s="601">
        <f t="shared" si="16"/>
        <v>74</v>
      </c>
      <c r="R14" s="594">
        <f t="shared" si="17"/>
        <v>52.2</v>
      </c>
      <c r="S14" s="596">
        <f t="shared" si="18"/>
        <v>95.25</v>
      </c>
      <c r="T14" s="596">
        <f t="shared" si="19"/>
        <v>100.65</v>
      </c>
      <c r="U14" s="599">
        <f t="shared" si="20"/>
        <v>107.55000000000001</v>
      </c>
      <c r="W14" s="34">
        <f t="shared" si="21"/>
        <v>10000</v>
      </c>
      <c r="X14" s="857">
        <f t="shared" si="7"/>
        <v>750</v>
      </c>
      <c r="Y14" s="528">
        <v>100</v>
      </c>
      <c r="AA14" s="531">
        <f t="shared" si="8"/>
        <v>3.4999999999999996</v>
      </c>
      <c r="AB14" s="115">
        <f t="shared" si="9"/>
        <v>3.9375</v>
      </c>
      <c r="AC14" s="532">
        <f t="shared" si="10"/>
        <v>4.5</v>
      </c>
    </row>
    <row r="15" spans="1:29">
      <c r="A15" s="130">
        <f t="shared" si="11"/>
        <v>15</v>
      </c>
      <c r="B15" s="16"/>
      <c r="C15" s="617">
        <f t="shared" si="22"/>
        <v>30</v>
      </c>
      <c r="D15" s="12">
        <f t="shared" si="0"/>
        <v>40.230662687850845</v>
      </c>
      <c r="E15" s="12" t="s">
        <v>130</v>
      </c>
      <c r="F15" s="620">
        <f>MROUND(C15*((C15-INDEX(Aannames!$E$99:$E$105,MATCH(C15,Aannames!$E$99:$E$105,1)))/(INDEX(Aannames!$E$99:$E$105,MATCH(C15,Aannames!$E$99:$E$105,1)+1)-INDEX(Aannames!$E$99:$E$105,MATCH(C15,Aannames!$E$99:$E$105,1)))*INDEX(Aannames!$J$99:$J$105,MATCH(C15,Aannames!$E$99:$E$105,1)+1)
+(INDEX(Aannames!$E$99:$E$105,MATCH(C15,Aannames!$E$99:$E$105,1)+1)-C15)/(INDEX(Aannames!$E$99:$E$105,MATCH(C15,Aannames!$E$99:$E$105,1)+1)-INDEX(Aannames!$E$99:$E$105,MATCH(C15,Aannames!$E$99:$E$105,1)))*INDEX(Aannames!$J$99:$J$105,MATCH(C15,Aannames!$E$99:$E$105,1))),500)</f>
        <v>227000</v>
      </c>
      <c r="G15" s="594">
        <f t="shared" si="1"/>
        <v>20.450000000000003</v>
      </c>
      <c r="H15" s="594">
        <f t="shared" si="2"/>
        <v>2.9000000000000004</v>
      </c>
      <c r="I15" s="600">
        <f t="shared" si="3"/>
        <v>17.5</v>
      </c>
      <c r="J15" s="601">
        <f t="shared" si="12"/>
        <v>40.85</v>
      </c>
      <c r="K15" s="594">
        <f t="shared" si="13"/>
        <v>22.700000000000003</v>
      </c>
      <c r="L15" s="594">
        <f t="shared" si="4"/>
        <v>51.650000000000006</v>
      </c>
      <c r="M15" s="594">
        <f t="shared" si="5"/>
        <v>58.1</v>
      </c>
      <c r="N15" s="600">
        <f t="shared" si="6"/>
        <v>66.400000000000006</v>
      </c>
      <c r="O15" s="596">
        <f t="shared" si="14"/>
        <v>74.350000000000009</v>
      </c>
      <c r="P15" s="596">
        <f t="shared" si="15"/>
        <v>80.800000000000011</v>
      </c>
      <c r="Q15" s="601">
        <f t="shared" si="16"/>
        <v>89.100000000000009</v>
      </c>
      <c r="R15" s="594">
        <f t="shared" si="17"/>
        <v>63.550000000000004</v>
      </c>
      <c r="S15" s="596">
        <f t="shared" si="18"/>
        <v>115.20000000000002</v>
      </c>
      <c r="T15" s="596">
        <f t="shared" si="19"/>
        <v>121.65</v>
      </c>
      <c r="U15" s="599">
        <f t="shared" si="20"/>
        <v>129.95000000000002</v>
      </c>
      <c r="W15" s="34">
        <f t="shared" si="21"/>
        <v>10000</v>
      </c>
      <c r="X15" s="857">
        <f t="shared" si="7"/>
        <v>750</v>
      </c>
      <c r="Y15" s="528">
        <v>100</v>
      </c>
      <c r="AA15" s="531">
        <f t="shared" si="8"/>
        <v>4.1999999999999993</v>
      </c>
      <c r="AB15" s="115">
        <f t="shared" si="9"/>
        <v>4.7249999999999996</v>
      </c>
      <c r="AC15" s="532">
        <f t="shared" si="10"/>
        <v>5.3999999999999995</v>
      </c>
    </row>
    <row r="16" spans="1:29">
      <c r="A16" s="130">
        <f t="shared" si="11"/>
        <v>16</v>
      </c>
      <c r="B16" s="16"/>
      <c r="C16" s="617">
        <f t="shared" si="22"/>
        <v>35</v>
      </c>
      <c r="D16" s="12">
        <f t="shared" si="0"/>
        <v>46.93577313582599</v>
      </c>
      <c r="E16" s="12" t="s">
        <v>130</v>
      </c>
      <c r="F16" s="620">
        <f>MROUND(C16*((C16-INDEX(Aannames!$E$99:$E$105,MATCH(C16,Aannames!$E$99:$E$105,1)))/(INDEX(Aannames!$E$99:$E$105,MATCH(C16,Aannames!$E$99:$E$105,1)+1)-INDEX(Aannames!$E$99:$E$105,MATCH(C16,Aannames!$E$99:$E$105,1)))*INDEX(Aannames!$J$99:$J$105,MATCH(C16,Aannames!$E$99:$E$105,1)+1)
+(INDEX(Aannames!$E$99:$E$105,MATCH(C16,Aannames!$E$99:$E$105,1)+1)-C16)/(INDEX(Aannames!$E$99:$E$105,MATCH(C16,Aannames!$E$99:$E$105,1)+1)-INDEX(Aannames!$E$99:$E$105,MATCH(C16,Aannames!$E$99:$E$105,1)))*INDEX(Aannames!$J$99:$J$105,MATCH(C16,Aannames!$E$99:$E$105,1))),500)</f>
        <v>269000</v>
      </c>
      <c r="G16" s="594">
        <f t="shared" si="1"/>
        <v>24.200000000000003</v>
      </c>
      <c r="H16" s="594">
        <f t="shared" si="2"/>
        <v>3.45</v>
      </c>
      <c r="I16" s="600">
        <f t="shared" si="3"/>
        <v>20.700000000000003</v>
      </c>
      <c r="J16" s="601">
        <f t="shared" si="12"/>
        <v>48.350000000000009</v>
      </c>
      <c r="K16" s="594">
        <f t="shared" si="13"/>
        <v>26.900000000000002</v>
      </c>
      <c r="L16" s="594">
        <f t="shared" si="4"/>
        <v>60.25</v>
      </c>
      <c r="M16" s="594">
        <f t="shared" si="5"/>
        <v>67.8</v>
      </c>
      <c r="N16" s="600">
        <f t="shared" si="6"/>
        <v>77.5</v>
      </c>
      <c r="O16" s="596">
        <f t="shared" si="14"/>
        <v>87.15</v>
      </c>
      <c r="P16" s="596">
        <f t="shared" si="15"/>
        <v>94.7</v>
      </c>
      <c r="Q16" s="601">
        <f t="shared" si="16"/>
        <v>104.4</v>
      </c>
      <c r="R16" s="594">
        <f t="shared" si="17"/>
        <v>75.250000000000014</v>
      </c>
      <c r="S16" s="596">
        <f t="shared" si="18"/>
        <v>135.5</v>
      </c>
      <c r="T16" s="596">
        <f t="shared" si="19"/>
        <v>143.05000000000001</v>
      </c>
      <c r="U16" s="599">
        <f t="shared" si="20"/>
        <v>152.75</v>
      </c>
      <c r="W16" s="34">
        <f t="shared" si="21"/>
        <v>10000</v>
      </c>
      <c r="X16" s="857">
        <f t="shared" si="7"/>
        <v>750</v>
      </c>
      <c r="Y16" s="528">
        <v>100</v>
      </c>
      <c r="AA16" s="531">
        <f t="shared" si="8"/>
        <v>4.8999999999999995</v>
      </c>
      <c r="AB16" s="115">
        <f t="shared" si="9"/>
        <v>5.5125000000000002</v>
      </c>
      <c r="AC16" s="532">
        <f t="shared" si="10"/>
        <v>6.3</v>
      </c>
    </row>
    <row r="17" spans="1:29">
      <c r="A17" s="130">
        <f t="shared" si="11"/>
        <v>17</v>
      </c>
      <c r="B17" s="16"/>
      <c r="C17" s="617">
        <f t="shared" si="22"/>
        <v>40</v>
      </c>
      <c r="D17" s="12">
        <f t="shared" si="0"/>
        <v>53.640883583801127</v>
      </c>
      <c r="E17" s="12" t="s">
        <v>130</v>
      </c>
      <c r="F17" s="620">
        <f>MROUND(C17*((C17-INDEX(Aannames!$E$99:$E$105,MATCH(C17,Aannames!$E$99:$E$105,1)))/(INDEX(Aannames!$E$99:$E$105,MATCH(C17,Aannames!$E$99:$E$105,1)+1)-INDEX(Aannames!$E$99:$E$105,MATCH(C17,Aannames!$E$99:$E$105,1)))*INDEX(Aannames!$J$99:$J$105,MATCH(C17,Aannames!$E$99:$E$105,1)+1)
+(INDEX(Aannames!$E$99:$E$105,MATCH(C17,Aannames!$E$99:$E$105,1)+1)-C17)/(INDEX(Aannames!$E$99:$E$105,MATCH(C17,Aannames!$E$99:$E$105,1)+1)-INDEX(Aannames!$E$99:$E$105,MATCH(C17,Aannames!$E$99:$E$105,1)))*INDEX(Aannames!$J$99:$J$105,MATCH(C17,Aannames!$E$99:$E$105,1))),500)</f>
        <v>311500</v>
      </c>
      <c r="G17" s="594">
        <f t="shared" si="1"/>
        <v>28.05</v>
      </c>
      <c r="H17" s="594">
        <f t="shared" si="2"/>
        <v>4</v>
      </c>
      <c r="I17" s="600">
        <f t="shared" si="3"/>
        <v>24</v>
      </c>
      <c r="J17" s="601">
        <f t="shared" si="12"/>
        <v>56.05</v>
      </c>
      <c r="K17" s="594">
        <f t="shared" si="13"/>
        <v>31.150000000000002</v>
      </c>
      <c r="L17" s="594">
        <f t="shared" si="4"/>
        <v>68.900000000000006</v>
      </c>
      <c r="M17" s="594">
        <f t="shared" si="5"/>
        <v>77.5</v>
      </c>
      <c r="N17" s="600">
        <f t="shared" si="6"/>
        <v>88.550000000000011</v>
      </c>
      <c r="O17" s="596">
        <f t="shared" si="14"/>
        <v>100.05000000000001</v>
      </c>
      <c r="P17" s="596">
        <f t="shared" si="15"/>
        <v>108.65</v>
      </c>
      <c r="Q17" s="601">
        <f t="shared" si="16"/>
        <v>119.70000000000002</v>
      </c>
      <c r="R17" s="594">
        <f t="shared" si="17"/>
        <v>87.2</v>
      </c>
      <c r="S17" s="596">
        <f t="shared" si="18"/>
        <v>156.10000000000002</v>
      </c>
      <c r="T17" s="596">
        <f t="shared" si="19"/>
        <v>164.7</v>
      </c>
      <c r="U17" s="599">
        <f t="shared" si="20"/>
        <v>175.75</v>
      </c>
      <c r="W17" s="34">
        <f t="shared" si="21"/>
        <v>10000</v>
      </c>
      <c r="X17" s="857">
        <f t="shared" si="7"/>
        <v>750</v>
      </c>
      <c r="Y17" s="528">
        <v>100</v>
      </c>
      <c r="AA17" s="531">
        <f t="shared" si="8"/>
        <v>5.6</v>
      </c>
      <c r="AB17" s="115">
        <f t="shared" si="9"/>
        <v>6.3</v>
      </c>
      <c r="AC17" s="532">
        <f t="shared" si="10"/>
        <v>7.1999999999999993</v>
      </c>
    </row>
    <row r="18" spans="1:29">
      <c r="A18" s="130">
        <f t="shared" si="11"/>
        <v>18</v>
      </c>
      <c r="B18" s="16"/>
      <c r="C18" s="617">
        <f t="shared" si="22"/>
        <v>45</v>
      </c>
      <c r="D18" s="12">
        <f t="shared" si="0"/>
        <v>60.345994031776272</v>
      </c>
      <c r="E18" s="12" t="s">
        <v>130</v>
      </c>
      <c r="F18" s="620">
        <f>MROUND(C18*((C18-INDEX(Aannames!$E$99:$E$105,MATCH(C18,Aannames!$E$99:$E$105,1)))/(INDEX(Aannames!$E$99:$E$105,MATCH(C18,Aannames!$E$99:$E$105,1)+1)-INDEX(Aannames!$E$99:$E$105,MATCH(C18,Aannames!$E$99:$E$105,1)))*INDEX(Aannames!$J$99:$J$105,MATCH(C18,Aannames!$E$99:$E$105,1)+1)
+(INDEX(Aannames!$E$99:$E$105,MATCH(C18,Aannames!$E$99:$E$105,1)+1)-C18)/(INDEX(Aannames!$E$99:$E$105,MATCH(C18,Aannames!$E$99:$E$105,1)+1)-INDEX(Aannames!$E$99:$E$105,MATCH(C18,Aannames!$E$99:$E$105,1)))*INDEX(Aannames!$J$99:$J$105,MATCH(C18,Aannames!$E$99:$E$105,1))),500)</f>
        <v>356000</v>
      </c>
      <c r="G18" s="594">
        <f t="shared" si="1"/>
        <v>32.050000000000004</v>
      </c>
      <c r="H18" s="594">
        <f t="shared" si="2"/>
        <v>4.55</v>
      </c>
      <c r="I18" s="600">
        <f t="shared" si="3"/>
        <v>27.400000000000002</v>
      </c>
      <c r="J18" s="601">
        <f t="shared" si="12"/>
        <v>64</v>
      </c>
      <c r="K18" s="594">
        <f t="shared" si="13"/>
        <v>35.6</v>
      </c>
      <c r="L18" s="594">
        <f t="shared" si="4"/>
        <v>77.5</v>
      </c>
      <c r="M18" s="594">
        <f t="shared" si="5"/>
        <v>87.2</v>
      </c>
      <c r="N18" s="600">
        <f t="shared" si="6"/>
        <v>99.65</v>
      </c>
      <c r="O18" s="596">
        <f t="shared" si="14"/>
        <v>113.1</v>
      </c>
      <c r="P18" s="596">
        <f t="shared" si="15"/>
        <v>122.80000000000001</v>
      </c>
      <c r="Q18" s="601">
        <f t="shared" si="16"/>
        <v>135.25</v>
      </c>
      <c r="R18" s="594">
        <f t="shared" si="17"/>
        <v>99.6</v>
      </c>
      <c r="S18" s="596">
        <f t="shared" si="18"/>
        <v>177.1</v>
      </c>
      <c r="T18" s="596">
        <f t="shared" si="19"/>
        <v>186.8</v>
      </c>
      <c r="U18" s="599">
        <f t="shared" si="20"/>
        <v>199.25</v>
      </c>
      <c r="W18" s="34">
        <f t="shared" si="21"/>
        <v>10000</v>
      </c>
      <c r="X18" s="857">
        <f t="shared" si="7"/>
        <v>750</v>
      </c>
      <c r="Y18" s="528">
        <v>100</v>
      </c>
      <c r="AA18" s="531">
        <f t="shared" si="8"/>
        <v>6.2999999999999989</v>
      </c>
      <c r="AB18" s="115">
        <f t="shared" si="9"/>
        <v>7.0875000000000004</v>
      </c>
      <c r="AC18" s="532">
        <f t="shared" si="10"/>
        <v>8.1</v>
      </c>
    </row>
    <row r="19" spans="1:29">
      <c r="A19" s="130">
        <f t="shared" si="11"/>
        <v>19</v>
      </c>
      <c r="B19" s="16"/>
      <c r="C19" s="617">
        <f t="shared" si="22"/>
        <v>50</v>
      </c>
      <c r="D19" s="12">
        <f t="shared" si="0"/>
        <v>67.051104479751416</v>
      </c>
      <c r="E19" s="12" t="s">
        <v>130</v>
      </c>
      <c r="F19" s="620">
        <f>MROUND(C19*((C19-INDEX(Aannames!$E$99:$E$105,MATCH(C19,Aannames!$E$99:$E$105,1)))/(INDEX(Aannames!$E$99:$E$105,MATCH(C19,Aannames!$E$99:$E$105,1)+1)-INDEX(Aannames!$E$99:$E$105,MATCH(C19,Aannames!$E$99:$E$105,1)))*INDEX(Aannames!$J$99:$J$105,MATCH(C19,Aannames!$E$99:$E$105,1)+1)
+(INDEX(Aannames!$E$99:$E$105,MATCH(C19,Aannames!$E$99:$E$105,1)+1)-C19)/(INDEX(Aannames!$E$99:$E$105,MATCH(C19,Aannames!$E$99:$E$105,1)+1)-INDEX(Aannames!$E$99:$E$105,MATCH(C19,Aannames!$E$99:$E$105,1)))*INDEX(Aannames!$J$99:$J$105,MATCH(C19,Aannames!$E$99:$E$105,1))),500)</f>
        <v>401000</v>
      </c>
      <c r="G19" s="594">
        <f t="shared" si="1"/>
        <v>36.1</v>
      </c>
      <c r="H19" s="594">
        <f t="shared" si="2"/>
        <v>5.15</v>
      </c>
      <c r="I19" s="600">
        <f t="shared" si="3"/>
        <v>30.900000000000002</v>
      </c>
      <c r="J19" s="601">
        <f t="shared" si="12"/>
        <v>72.150000000000006</v>
      </c>
      <c r="K19" s="594">
        <f t="shared" si="13"/>
        <v>40.1</v>
      </c>
      <c r="L19" s="594">
        <f t="shared" si="4"/>
        <v>86.100000000000009</v>
      </c>
      <c r="M19" s="594">
        <f t="shared" si="5"/>
        <v>96.850000000000009</v>
      </c>
      <c r="N19" s="600">
        <f t="shared" si="6"/>
        <v>110.7</v>
      </c>
      <c r="O19" s="596">
        <f t="shared" si="14"/>
        <v>126.20000000000002</v>
      </c>
      <c r="P19" s="596">
        <f t="shared" si="15"/>
        <v>136.95000000000002</v>
      </c>
      <c r="Q19" s="601">
        <f t="shared" si="16"/>
        <v>150.80000000000001</v>
      </c>
      <c r="R19" s="594">
        <f t="shared" si="17"/>
        <v>112.25</v>
      </c>
      <c r="S19" s="596">
        <f t="shared" si="18"/>
        <v>198.35000000000002</v>
      </c>
      <c r="T19" s="596">
        <f t="shared" si="19"/>
        <v>209.10000000000002</v>
      </c>
      <c r="U19" s="599">
        <f t="shared" si="20"/>
        <v>222.95000000000002</v>
      </c>
      <c r="W19" s="34">
        <f t="shared" si="21"/>
        <v>10000</v>
      </c>
      <c r="X19" s="857">
        <f t="shared" si="7"/>
        <v>750</v>
      </c>
      <c r="Y19" s="528">
        <v>100</v>
      </c>
      <c r="AA19" s="531">
        <f t="shared" si="8"/>
        <v>6.9999999999999991</v>
      </c>
      <c r="AB19" s="115">
        <f t="shared" si="9"/>
        <v>7.875</v>
      </c>
      <c r="AC19" s="532">
        <f t="shared" si="10"/>
        <v>9</v>
      </c>
    </row>
    <row r="20" spans="1:29">
      <c r="A20" s="130">
        <f t="shared" si="11"/>
        <v>20</v>
      </c>
      <c r="B20" s="16"/>
      <c r="C20" s="617">
        <f t="shared" si="22"/>
        <v>55</v>
      </c>
      <c r="D20" s="12">
        <f t="shared" si="0"/>
        <v>73.756214927726546</v>
      </c>
      <c r="E20" s="12" t="s">
        <v>130</v>
      </c>
      <c r="F20" s="620">
        <f>MROUND(C20*((C20-INDEX(Aannames!$E$99:$E$105,MATCH(C20,Aannames!$E$99:$E$105,1)))/(INDEX(Aannames!$E$99:$E$105,MATCH(C20,Aannames!$E$99:$E$105,1)+1)-INDEX(Aannames!$E$99:$E$105,MATCH(C20,Aannames!$E$99:$E$105,1)))*INDEX(Aannames!$J$99:$J$105,MATCH(C20,Aannames!$E$99:$E$105,1)+1)
+(INDEX(Aannames!$E$99:$E$105,MATCH(C20,Aannames!$E$99:$E$105,1)+1)-C20)/(INDEX(Aannames!$E$99:$E$105,MATCH(C20,Aannames!$E$99:$E$105,1)+1)-INDEX(Aannames!$E$99:$E$105,MATCH(C20,Aannames!$E$99:$E$105,1)))*INDEX(Aannames!$J$99:$J$105,MATCH(C20,Aannames!$E$99:$E$105,1))),500)</f>
        <v>447500</v>
      </c>
      <c r="G20" s="594">
        <f t="shared" si="1"/>
        <v>40.25</v>
      </c>
      <c r="H20" s="594">
        <f t="shared" si="2"/>
        <v>5.75</v>
      </c>
      <c r="I20" s="600">
        <f t="shared" si="3"/>
        <v>34.450000000000003</v>
      </c>
      <c r="J20" s="601">
        <f t="shared" si="12"/>
        <v>80.45</v>
      </c>
      <c r="K20" s="594">
        <f t="shared" si="13"/>
        <v>44.75</v>
      </c>
      <c r="L20" s="594">
        <f t="shared" si="4"/>
        <v>94.7</v>
      </c>
      <c r="M20" s="594">
        <f t="shared" si="5"/>
        <v>106.55000000000001</v>
      </c>
      <c r="N20" s="600">
        <f t="shared" si="6"/>
        <v>121.75</v>
      </c>
      <c r="O20" s="596">
        <f t="shared" si="14"/>
        <v>139.44999999999999</v>
      </c>
      <c r="P20" s="596">
        <f t="shared" si="15"/>
        <v>151.30000000000001</v>
      </c>
      <c r="Q20" s="601">
        <f t="shared" si="16"/>
        <v>166.5</v>
      </c>
      <c r="R20" s="594">
        <f t="shared" si="17"/>
        <v>125.2</v>
      </c>
      <c r="S20" s="596">
        <f t="shared" si="18"/>
        <v>219.89999999999998</v>
      </c>
      <c r="T20" s="596">
        <f t="shared" si="19"/>
        <v>231.75</v>
      </c>
      <c r="U20" s="599">
        <f t="shared" si="20"/>
        <v>246.95</v>
      </c>
      <c r="W20" s="34">
        <f t="shared" si="21"/>
        <v>10000</v>
      </c>
      <c r="X20" s="857">
        <f t="shared" si="7"/>
        <v>750</v>
      </c>
      <c r="Y20" s="528">
        <v>100</v>
      </c>
      <c r="AA20" s="531">
        <f t="shared" si="8"/>
        <v>7.6999999999999993</v>
      </c>
      <c r="AB20" s="115">
        <f t="shared" si="9"/>
        <v>8.6624999999999996</v>
      </c>
      <c r="AC20" s="532">
        <f t="shared" si="10"/>
        <v>9.9</v>
      </c>
    </row>
    <row r="21" spans="1:29">
      <c r="A21" s="130">
        <f t="shared" si="11"/>
        <v>21</v>
      </c>
      <c r="B21" s="16"/>
      <c r="C21" s="617">
        <f>C20+5</f>
        <v>60</v>
      </c>
      <c r="D21" s="12">
        <f t="shared" si="0"/>
        <v>80.461325375701691</v>
      </c>
      <c r="E21" s="12" t="s">
        <v>130</v>
      </c>
      <c r="F21" s="620">
        <f>MROUND(C21*((C21-INDEX(Aannames!$E$99:$E$105,MATCH(C21,Aannames!$E$99:$E$105,1)))/(INDEX(Aannames!$E$99:$E$105,MATCH(C21,Aannames!$E$99:$E$105,1)+1)-INDEX(Aannames!$E$99:$E$105,MATCH(C21,Aannames!$E$99:$E$105,1)))*INDEX(Aannames!$J$99:$J$105,MATCH(C21,Aannames!$E$99:$E$105,1)+1)
+(INDEX(Aannames!$E$99:$E$105,MATCH(C21,Aannames!$E$99:$E$105,1)+1)-C21)/(INDEX(Aannames!$E$99:$E$105,MATCH(C21,Aannames!$E$99:$E$105,1)+1)-INDEX(Aannames!$E$99:$E$105,MATCH(C21,Aannames!$E$99:$E$105,1)))*INDEX(Aannames!$J$99:$J$105,MATCH(C21,Aannames!$E$99:$E$105,1))),500)</f>
        <v>495000</v>
      </c>
      <c r="G21" s="594">
        <f t="shared" si="1"/>
        <v>44.550000000000004</v>
      </c>
      <c r="H21" s="594">
        <f t="shared" si="2"/>
        <v>6.3500000000000005</v>
      </c>
      <c r="I21" s="600">
        <f t="shared" si="3"/>
        <v>38.1</v>
      </c>
      <c r="J21" s="601">
        <f t="shared" si="12"/>
        <v>89</v>
      </c>
      <c r="K21" s="594">
        <f t="shared" si="13"/>
        <v>49.5</v>
      </c>
      <c r="L21" s="594">
        <f t="shared" si="4"/>
        <v>103.30000000000001</v>
      </c>
      <c r="M21" s="594">
        <f t="shared" si="5"/>
        <v>116.25</v>
      </c>
      <c r="N21" s="600">
        <f t="shared" si="6"/>
        <v>132.85</v>
      </c>
      <c r="O21" s="596">
        <f t="shared" si="14"/>
        <v>152.80000000000001</v>
      </c>
      <c r="P21" s="596">
        <f t="shared" si="15"/>
        <v>165.75</v>
      </c>
      <c r="Q21" s="601">
        <f t="shared" si="16"/>
        <v>182.35</v>
      </c>
      <c r="R21" s="594">
        <f t="shared" si="17"/>
        <v>138.5</v>
      </c>
      <c r="S21" s="596">
        <f t="shared" si="18"/>
        <v>241.8</v>
      </c>
      <c r="T21" s="596">
        <f t="shared" si="19"/>
        <v>254.75</v>
      </c>
      <c r="U21" s="601">
        <f t="shared" si="20"/>
        <v>271.35000000000002</v>
      </c>
      <c r="W21" s="34">
        <f t="shared" si="21"/>
        <v>10000</v>
      </c>
      <c r="X21" s="857">
        <f t="shared" si="7"/>
        <v>750</v>
      </c>
      <c r="Y21" s="528">
        <v>100</v>
      </c>
      <c r="AA21" s="531">
        <f t="shared" si="8"/>
        <v>8.3999999999999986</v>
      </c>
      <c r="AB21" s="115">
        <f t="shared" si="9"/>
        <v>9.4499999999999993</v>
      </c>
      <c r="AC21" s="532">
        <f t="shared" si="10"/>
        <v>10.799999999999999</v>
      </c>
    </row>
    <row r="22" spans="1:29">
      <c r="A22" s="130">
        <f t="shared" si="11"/>
        <v>22</v>
      </c>
      <c r="B22" s="16"/>
      <c r="C22" s="617">
        <f t="shared" si="22"/>
        <v>65</v>
      </c>
      <c r="D22" s="12">
        <f t="shared" si="0"/>
        <v>87.166435823676835</v>
      </c>
      <c r="E22" s="12" t="s">
        <v>130</v>
      </c>
      <c r="F22" s="620">
        <f>MROUND(C22*((C22-INDEX(Aannames!$E$99:$E$105,MATCH(C22,Aannames!$E$99:$E$105,1)))/(INDEX(Aannames!$E$99:$E$105,MATCH(C22,Aannames!$E$99:$E$105,1)+1)-INDEX(Aannames!$E$99:$E$105,MATCH(C22,Aannames!$E$99:$E$105,1)))*INDEX(Aannames!$J$99:$J$105,MATCH(C22,Aannames!$E$99:$E$105,1)+1)
+(INDEX(Aannames!$E$99:$E$105,MATCH(C22,Aannames!$E$99:$E$105,1)+1)-C22)/(INDEX(Aannames!$E$99:$E$105,MATCH(C22,Aannames!$E$99:$E$105,1)+1)-INDEX(Aannames!$E$99:$E$105,MATCH(C22,Aannames!$E$99:$E$105,1)))*INDEX(Aannames!$J$99:$J$105,MATCH(C22,Aannames!$E$99:$E$105,1))),500)</f>
        <v>536500</v>
      </c>
      <c r="G22" s="594">
        <f t="shared" si="1"/>
        <v>48.300000000000004</v>
      </c>
      <c r="H22" s="594">
        <f t="shared" si="2"/>
        <v>6.9</v>
      </c>
      <c r="I22" s="600">
        <f t="shared" si="3"/>
        <v>41.300000000000004</v>
      </c>
      <c r="J22" s="601">
        <f t="shared" si="12"/>
        <v>96.5</v>
      </c>
      <c r="K22" s="594">
        <f t="shared" si="13"/>
        <v>53.650000000000006</v>
      </c>
      <c r="L22" s="594">
        <f t="shared" si="4"/>
        <v>111.95</v>
      </c>
      <c r="M22" s="594">
        <f t="shared" si="5"/>
        <v>125.9</v>
      </c>
      <c r="N22" s="600">
        <f t="shared" si="6"/>
        <v>143.9</v>
      </c>
      <c r="O22" s="596">
        <f t="shared" si="14"/>
        <v>165.60000000000002</v>
      </c>
      <c r="P22" s="596">
        <f t="shared" si="15"/>
        <v>179.55</v>
      </c>
      <c r="Q22" s="601">
        <f t="shared" si="16"/>
        <v>197.55</v>
      </c>
      <c r="R22" s="594">
        <f t="shared" si="17"/>
        <v>150.15</v>
      </c>
      <c r="S22" s="596">
        <f t="shared" si="18"/>
        <v>262.10000000000002</v>
      </c>
      <c r="T22" s="596">
        <f t="shared" si="19"/>
        <v>276.05</v>
      </c>
      <c r="U22" s="601">
        <f t="shared" si="20"/>
        <v>294.05</v>
      </c>
      <c r="W22" s="34">
        <f t="shared" si="21"/>
        <v>10000</v>
      </c>
      <c r="X22" s="857">
        <f t="shared" si="7"/>
        <v>750</v>
      </c>
      <c r="Y22" s="528">
        <v>100</v>
      </c>
      <c r="AA22" s="531">
        <f t="shared" si="8"/>
        <v>9.1</v>
      </c>
      <c r="AB22" s="115">
        <f t="shared" si="9"/>
        <v>10.237500000000001</v>
      </c>
      <c r="AC22" s="532">
        <f t="shared" si="10"/>
        <v>11.7</v>
      </c>
    </row>
    <row r="23" spans="1:29">
      <c r="A23" s="130">
        <f t="shared" si="11"/>
        <v>23</v>
      </c>
      <c r="B23" s="16"/>
      <c r="C23" s="617">
        <f t="shared" si="22"/>
        <v>70</v>
      </c>
      <c r="D23" s="12">
        <f t="shared" si="0"/>
        <v>93.87154627165198</v>
      </c>
      <c r="E23" s="12" t="s">
        <v>130</v>
      </c>
      <c r="F23" s="620">
        <f>MROUND(C23*((C23-INDEX(Aannames!$E$99:$E$105,MATCH(C23,Aannames!$E$99:$E$105,1)))/(INDEX(Aannames!$E$99:$E$105,MATCH(C23,Aannames!$E$99:$E$105,1)+1)-INDEX(Aannames!$E$99:$E$105,MATCH(C23,Aannames!$E$99:$E$105,1)))*INDEX(Aannames!$J$99:$J$105,MATCH(C23,Aannames!$E$99:$E$105,1)+1)
+(INDEX(Aannames!$E$99:$E$105,MATCH(C23,Aannames!$E$99:$E$105,1)+1)-C23)/(INDEX(Aannames!$E$99:$E$105,MATCH(C23,Aannames!$E$99:$E$105,1)+1)-INDEX(Aannames!$E$99:$E$105,MATCH(C23,Aannames!$E$99:$E$105,1)))*INDEX(Aannames!$J$99:$J$105,MATCH(C23,Aannames!$E$99:$E$105,1))),500)</f>
        <v>577500</v>
      </c>
      <c r="G23" s="594">
        <f t="shared" si="1"/>
        <v>52</v>
      </c>
      <c r="H23" s="594">
        <f t="shared" si="2"/>
        <v>7.4</v>
      </c>
      <c r="I23" s="600">
        <f t="shared" si="3"/>
        <v>44.45</v>
      </c>
      <c r="J23" s="601">
        <f t="shared" si="12"/>
        <v>103.85</v>
      </c>
      <c r="K23" s="594">
        <f t="shared" si="13"/>
        <v>57.75</v>
      </c>
      <c r="L23" s="594">
        <f t="shared" si="4"/>
        <v>120.55000000000001</v>
      </c>
      <c r="M23" s="594">
        <f t="shared" si="5"/>
        <v>135.6</v>
      </c>
      <c r="N23" s="600">
        <f t="shared" si="6"/>
        <v>155</v>
      </c>
      <c r="O23" s="596">
        <f t="shared" si="14"/>
        <v>178.3</v>
      </c>
      <c r="P23" s="596">
        <f t="shared" si="15"/>
        <v>193.35</v>
      </c>
      <c r="Q23" s="601">
        <f t="shared" si="16"/>
        <v>212.75</v>
      </c>
      <c r="R23" s="594">
        <f t="shared" si="17"/>
        <v>161.6</v>
      </c>
      <c r="S23" s="596">
        <f t="shared" si="18"/>
        <v>282.14999999999998</v>
      </c>
      <c r="T23" s="596">
        <f t="shared" si="19"/>
        <v>297.2</v>
      </c>
      <c r="U23" s="601">
        <f t="shared" si="20"/>
        <v>316.60000000000002</v>
      </c>
      <c r="W23" s="34">
        <f t="shared" si="21"/>
        <v>10000</v>
      </c>
      <c r="X23" s="857">
        <f t="shared" si="7"/>
        <v>750</v>
      </c>
      <c r="Y23" s="528">
        <v>100</v>
      </c>
      <c r="AA23" s="531">
        <f t="shared" si="8"/>
        <v>9.7999999999999989</v>
      </c>
      <c r="AB23" s="115">
        <f t="shared" si="9"/>
        <v>11.025</v>
      </c>
      <c r="AC23" s="532">
        <f t="shared" si="10"/>
        <v>12.6</v>
      </c>
    </row>
    <row r="24" spans="1:29">
      <c r="A24" s="130">
        <f t="shared" si="11"/>
        <v>24</v>
      </c>
      <c r="B24" s="16"/>
      <c r="C24" s="617">
        <f t="shared" si="22"/>
        <v>75</v>
      </c>
      <c r="D24" s="12">
        <f t="shared" si="0"/>
        <v>100.57665671962711</v>
      </c>
      <c r="E24" s="12" t="s">
        <v>130</v>
      </c>
      <c r="F24" s="620">
        <f>MROUND(C24*((C24-INDEX(Aannames!$E$99:$E$105,MATCH(C24,Aannames!$E$99:$E$105,1)))/(INDEX(Aannames!$E$99:$E$105,MATCH(C24,Aannames!$E$99:$E$105,1)+1)-INDEX(Aannames!$E$99:$E$105,MATCH(C24,Aannames!$E$99:$E$105,1)))*INDEX(Aannames!$J$99:$J$105,MATCH(C24,Aannames!$E$99:$E$105,1)+1)
+(INDEX(Aannames!$E$99:$E$105,MATCH(C24,Aannames!$E$99:$E$105,1)+1)-C24)/(INDEX(Aannames!$E$99:$E$105,MATCH(C24,Aannames!$E$99:$E$105,1)+1)-INDEX(Aannames!$E$99:$E$105,MATCH(C24,Aannames!$E$99:$E$105,1)))*INDEX(Aannames!$J$99:$J$105,MATCH(C24,Aannames!$E$99:$E$105,1))),500)</f>
        <v>619000</v>
      </c>
      <c r="G24" s="594">
        <f t="shared" si="1"/>
        <v>55.7</v>
      </c>
      <c r="H24" s="594">
        <f t="shared" si="2"/>
        <v>7.95</v>
      </c>
      <c r="I24" s="600">
        <f t="shared" si="3"/>
        <v>47.650000000000006</v>
      </c>
      <c r="J24" s="601">
        <f t="shared" si="12"/>
        <v>111.30000000000001</v>
      </c>
      <c r="K24" s="594">
        <f t="shared" si="13"/>
        <v>61.900000000000006</v>
      </c>
      <c r="L24" s="594">
        <f t="shared" si="4"/>
        <v>129.15</v>
      </c>
      <c r="M24" s="594">
        <f t="shared" si="5"/>
        <v>145.30000000000001</v>
      </c>
      <c r="N24" s="600">
        <f t="shared" si="6"/>
        <v>166.05</v>
      </c>
      <c r="O24" s="596">
        <f t="shared" si="14"/>
        <v>191.05</v>
      </c>
      <c r="P24" s="596">
        <f t="shared" si="15"/>
        <v>207.20000000000002</v>
      </c>
      <c r="Q24" s="601">
        <f t="shared" si="16"/>
        <v>227.95000000000002</v>
      </c>
      <c r="R24" s="594">
        <f t="shared" si="17"/>
        <v>173.20000000000002</v>
      </c>
      <c r="S24" s="596">
        <f t="shared" si="18"/>
        <v>302.35000000000002</v>
      </c>
      <c r="T24" s="596">
        <f t="shared" si="19"/>
        <v>318.5</v>
      </c>
      <c r="U24" s="601">
        <f t="shared" si="20"/>
        <v>339.25</v>
      </c>
      <c r="W24" s="34">
        <f t="shared" si="21"/>
        <v>10000</v>
      </c>
      <c r="X24" s="857">
        <f t="shared" si="7"/>
        <v>750</v>
      </c>
      <c r="Y24" s="528">
        <v>100</v>
      </c>
      <c r="AA24" s="531">
        <f t="shared" si="8"/>
        <v>10.499999999999998</v>
      </c>
      <c r="AB24" s="115">
        <f t="shared" si="9"/>
        <v>11.8125</v>
      </c>
      <c r="AC24" s="532">
        <f t="shared" si="10"/>
        <v>13.5</v>
      </c>
    </row>
    <row r="25" spans="1:29">
      <c r="A25" s="130">
        <f t="shared" si="11"/>
        <v>25</v>
      </c>
      <c r="B25" s="16"/>
      <c r="C25" s="617">
        <f t="shared" si="22"/>
        <v>80</v>
      </c>
      <c r="D25" s="12">
        <f t="shared" si="0"/>
        <v>107.28176716760225</v>
      </c>
      <c r="E25" s="12" t="s">
        <v>130</v>
      </c>
      <c r="F25" s="620">
        <f>MROUND(C25*((C25-INDEX(Aannames!$E$99:$E$105,MATCH(C25,Aannames!$E$99:$E$105,1)))/(INDEX(Aannames!$E$99:$E$105,MATCH(C25,Aannames!$E$99:$E$105,1)+1)-INDEX(Aannames!$E$99:$E$105,MATCH(C25,Aannames!$E$99:$E$105,1)))*INDEX(Aannames!$J$99:$J$105,MATCH(C25,Aannames!$E$99:$E$105,1)+1)
+(INDEX(Aannames!$E$99:$E$105,MATCH(C25,Aannames!$E$99:$E$105,1)+1)-C25)/(INDEX(Aannames!$E$99:$E$105,MATCH(C25,Aannames!$E$99:$E$105,1)+1)-INDEX(Aannames!$E$99:$E$105,MATCH(C25,Aannames!$E$99:$E$105,1)))*INDEX(Aannames!$J$99:$J$105,MATCH(C25,Aannames!$E$99:$E$105,1))),500)</f>
        <v>660000</v>
      </c>
      <c r="G25" s="594">
        <f t="shared" si="1"/>
        <v>59.400000000000006</v>
      </c>
      <c r="H25" s="594">
        <f t="shared" si="2"/>
        <v>8.4500000000000011</v>
      </c>
      <c r="I25" s="600">
        <f t="shared" si="3"/>
        <v>50.800000000000004</v>
      </c>
      <c r="J25" s="601">
        <f t="shared" si="12"/>
        <v>118.65</v>
      </c>
      <c r="K25" s="594">
        <f t="shared" si="13"/>
        <v>66</v>
      </c>
      <c r="L25" s="594">
        <f t="shared" si="4"/>
        <v>137.75</v>
      </c>
      <c r="M25" s="594">
        <f t="shared" si="5"/>
        <v>155</v>
      </c>
      <c r="N25" s="600">
        <f t="shared" si="6"/>
        <v>177.10000000000002</v>
      </c>
      <c r="O25" s="596">
        <f t="shared" si="14"/>
        <v>203.75</v>
      </c>
      <c r="P25" s="596">
        <f t="shared" si="15"/>
        <v>221</v>
      </c>
      <c r="Q25" s="601">
        <f t="shared" si="16"/>
        <v>243.10000000000002</v>
      </c>
      <c r="R25" s="594">
        <f t="shared" si="17"/>
        <v>184.65</v>
      </c>
      <c r="S25" s="596">
        <f t="shared" si="18"/>
        <v>322.39999999999998</v>
      </c>
      <c r="T25" s="596">
        <f t="shared" si="19"/>
        <v>339.65</v>
      </c>
      <c r="U25" s="601">
        <f t="shared" si="20"/>
        <v>361.75</v>
      </c>
      <c r="W25" s="34">
        <f t="shared" si="21"/>
        <v>10000</v>
      </c>
      <c r="X25" s="857">
        <f t="shared" si="7"/>
        <v>750</v>
      </c>
      <c r="Y25" s="528">
        <v>100</v>
      </c>
      <c r="AA25" s="531">
        <f t="shared" si="8"/>
        <v>11.2</v>
      </c>
      <c r="AB25" s="115">
        <f t="shared" si="9"/>
        <v>12.6</v>
      </c>
      <c r="AC25" s="532">
        <f t="shared" si="10"/>
        <v>14.399999999999999</v>
      </c>
    </row>
    <row r="26" spans="1:29">
      <c r="A26" s="130">
        <f t="shared" si="11"/>
        <v>26</v>
      </c>
      <c r="B26" s="16"/>
      <c r="C26" s="617">
        <f t="shared" si="22"/>
        <v>85</v>
      </c>
      <c r="D26" s="12">
        <f t="shared" si="0"/>
        <v>113.9868776155774</v>
      </c>
      <c r="E26" s="12" t="s">
        <v>130</v>
      </c>
      <c r="F26" s="620">
        <f>MROUND(C26*((C26-INDEX(Aannames!$E$99:$E$105,MATCH(C26,Aannames!$E$99:$E$105,1)))/(INDEX(Aannames!$E$99:$E$105,MATCH(C26,Aannames!$E$99:$E$105,1)+1)-INDEX(Aannames!$E$99:$E$105,MATCH(C26,Aannames!$E$99:$E$105,1)))*INDEX(Aannames!$J$99:$J$105,MATCH(C26,Aannames!$E$99:$E$105,1)+1)
+(INDEX(Aannames!$E$99:$E$105,MATCH(C26,Aannames!$E$99:$E$105,1)+1)-C26)/(INDEX(Aannames!$E$99:$E$105,MATCH(C26,Aannames!$E$99:$E$105,1)+1)-INDEX(Aannames!$E$99:$E$105,MATCH(C26,Aannames!$E$99:$E$105,1)))*INDEX(Aannames!$J$99:$J$105,MATCH(C26,Aannames!$E$99:$E$105,1))),500)</f>
        <v>701500</v>
      </c>
      <c r="G26" s="594">
        <f t="shared" si="1"/>
        <v>63.150000000000006</v>
      </c>
      <c r="H26" s="594">
        <f t="shared" si="2"/>
        <v>9</v>
      </c>
      <c r="I26" s="600">
        <f t="shared" si="3"/>
        <v>54</v>
      </c>
      <c r="J26" s="601">
        <f t="shared" si="12"/>
        <v>126.15</v>
      </c>
      <c r="K26" s="594">
        <f t="shared" si="13"/>
        <v>70.150000000000006</v>
      </c>
      <c r="L26" s="594">
        <f t="shared" si="4"/>
        <v>146.35</v>
      </c>
      <c r="M26" s="594">
        <f t="shared" si="5"/>
        <v>164.65</v>
      </c>
      <c r="N26" s="600">
        <f t="shared" si="6"/>
        <v>188.20000000000002</v>
      </c>
      <c r="O26" s="596">
        <f t="shared" si="14"/>
        <v>216.5</v>
      </c>
      <c r="P26" s="596">
        <f t="shared" si="15"/>
        <v>234.8</v>
      </c>
      <c r="Q26" s="601">
        <f t="shared" si="16"/>
        <v>258.35000000000002</v>
      </c>
      <c r="R26" s="594">
        <f t="shared" si="17"/>
        <v>196.3</v>
      </c>
      <c r="S26" s="596">
        <f t="shared" si="18"/>
        <v>342.65</v>
      </c>
      <c r="T26" s="596">
        <f t="shared" si="19"/>
        <v>360.95000000000005</v>
      </c>
      <c r="U26" s="601">
        <f t="shared" si="20"/>
        <v>384.5</v>
      </c>
      <c r="W26" s="34">
        <f t="shared" si="21"/>
        <v>10000</v>
      </c>
      <c r="X26" s="857">
        <f t="shared" si="7"/>
        <v>750</v>
      </c>
      <c r="Y26" s="528">
        <v>100</v>
      </c>
      <c r="AA26" s="531">
        <f t="shared" si="8"/>
        <v>11.899999999999999</v>
      </c>
      <c r="AB26" s="115">
        <f t="shared" si="9"/>
        <v>13.387499999999999</v>
      </c>
      <c r="AC26" s="532">
        <f t="shared" si="10"/>
        <v>15.299999999999999</v>
      </c>
    </row>
    <row r="27" spans="1:29">
      <c r="A27" s="130">
        <f t="shared" si="11"/>
        <v>27</v>
      </c>
      <c r="B27" s="16"/>
      <c r="C27" s="617">
        <f t="shared" si="22"/>
        <v>90</v>
      </c>
      <c r="D27" s="12">
        <f t="shared" si="0"/>
        <v>120.69198806355254</v>
      </c>
      <c r="E27" s="12" t="s">
        <v>130</v>
      </c>
      <c r="F27" s="620">
        <f>MROUND(C27*((C27-INDEX(Aannames!$E$99:$E$105,MATCH(C27,Aannames!$E$99:$E$105,1)))/(INDEX(Aannames!$E$99:$E$105,MATCH(C27,Aannames!$E$99:$E$105,1)+1)-INDEX(Aannames!$E$99:$E$105,MATCH(C27,Aannames!$E$99:$E$105,1)))*INDEX(Aannames!$J$99:$J$105,MATCH(C27,Aannames!$E$99:$E$105,1)+1)
+(INDEX(Aannames!$E$99:$E$105,MATCH(C27,Aannames!$E$99:$E$105,1)+1)-C27)/(INDEX(Aannames!$E$99:$E$105,MATCH(C27,Aannames!$E$99:$E$105,1)+1)-INDEX(Aannames!$E$99:$E$105,MATCH(C27,Aannames!$E$99:$E$105,1)))*INDEX(Aannames!$J$99:$J$105,MATCH(C27,Aannames!$E$99:$E$105,1))),500)</f>
        <v>742500</v>
      </c>
      <c r="G27" s="594">
        <f t="shared" si="1"/>
        <v>66.850000000000009</v>
      </c>
      <c r="H27" s="594">
        <f t="shared" si="2"/>
        <v>9.5500000000000007</v>
      </c>
      <c r="I27" s="600">
        <f t="shared" si="3"/>
        <v>57.150000000000006</v>
      </c>
      <c r="J27" s="601">
        <f t="shared" si="12"/>
        <v>133.55000000000001</v>
      </c>
      <c r="K27" s="594">
        <f t="shared" si="13"/>
        <v>74.25</v>
      </c>
      <c r="L27" s="594">
        <f t="shared" si="4"/>
        <v>155</v>
      </c>
      <c r="M27" s="594">
        <f t="shared" si="5"/>
        <v>174.35000000000002</v>
      </c>
      <c r="N27" s="600">
        <f t="shared" si="6"/>
        <v>199.25</v>
      </c>
      <c r="O27" s="596">
        <f t="shared" si="14"/>
        <v>229.25</v>
      </c>
      <c r="P27" s="596">
        <f t="shared" si="15"/>
        <v>248.60000000000002</v>
      </c>
      <c r="Q27" s="601">
        <f t="shared" si="16"/>
        <v>273.5</v>
      </c>
      <c r="R27" s="594">
        <f t="shared" si="17"/>
        <v>207.8</v>
      </c>
      <c r="S27" s="596">
        <f t="shared" si="18"/>
        <v>362.8</v>
      </c>
      <c r="T27" s="596">
        <f t="shared" si="19"/>
        <v>382.15000000000003</v>
      </c>
      <c r="U27" s="601">
        <f t="shared" si="20"/>
        <v>407.05</v>
      </c>
      <c r="W27" s="34">
        <f t="shared" si="21"/>
        <v>10000</v>
      </c>
      <c r="X27" s="857">
        <f t="shared" si="7"/>
        <v>750</v>
      </c>
      <c r="Y27" s="528">
        <v>100</v>
      </c>
      <c r="AA27" s="531">
        <f t="shared" si="8"/>
        <v>12.599999999999998</v>
      </c>
      <c r="AB27" s="115">
        <f t="shared" si="9"/>
        <v>14.175000000000001</v>
      </c>
      <c r="AC27" s="532">
        <f t="shared" si="10"/>
        <v>16.2</v>
      </c>
    </row>
    <row r="28" spans="1:29">
      <c r="A28" s="130">
        <f t="shared" si="11"/>
        <v>28</v>
      </c>
      <c r="B28" s="16"/>
      <c r="C28" s="617">
        <f t="shared" si="22"/>
        <v>95</v>
      </c>
      <c r="D28" s="12">
        <f t="shared" si="0"/>
        <v>127.39709851152769</v>
      </c>
      <c r="E28" s="12" t="s">
        <v>130</v>
      </c>
      <c r="F28" s="620">
        <f>MROUND(C28*((C28-INDEX(Aannames!$E$99:$E$105,MATCH(C28,Aannames!$E$99:$E$105,1)))/(INDEX(Aannames!$E$99:$E$105,MATCH(C28,Aannames!$E$99:$E$105,1)+1)-INDEX(Aannames!$E$99:$E$105,MATCH(C28,Aannames!$E$99:$E$105,1)))*INDEX(Aannames!$J$99:$J$105,MATCH(C28,Aannames!$E$99:$E$105,1)+1)
+(INDEX(Aannames!$E$99:$E$105,MATCH(C28,Aannames!$E$99:$E$105,1)+1)-C28)/(INDEX(Aannames!$E$99:$E$105,MATCH(C28,Aannames!$E$99:$E$105,1)+1)-INDEX(Aannames!$E$99:$E$105,MATCH(C28,Aannames!$E$99:$E$105,1)))*INDEX(Aannames!$J$99:$J$105,MATCH(C28,Aannames!$E$99:$E$105,1))),500)</f>
        <v>784000</v>
      </c>
      <c r="G28" s="594">
        <f t="shared" si="1"/>
        <v>70.55</v>
      </c>
      <c r="H28" s="594">
        <f t="shared" si="2"/>
        <v>10.050000000000001</v>
      </c>
      <c r="I28" s="600">
        <f t="shared" si="3"/>
        <v>60.35</v>
      </c>
      <c r="J28" s="601">
        <f t="shared" si="12"/>
        <v>140.94999999999999</v>
      </c>
      <c r="K28" s="594">
        <f t="shared" si="13"/>
        <v>78.400000000000006</v>
      </c>
      <c r="L28" s="594">
        <f t="shared" si="4"/>
        <v>163.60000000000002</v>
      </c>
      <c r="M28" s="594">
        <f t="shared" si="5"/>
        <v>184.05</v>
      </c>
      <c r="N28" s="600">
        <f t="shared" si="6"/>
        <v>210.35000000000002</v>
      </c>
      <c r="O28" s="596">
        <f t="shared" si="14"/>
        <v>242.00000000000003</v>
      </c>
      <c r="P28" s="596">
        <f t="shared" si="15"/>
        <v>262.45000000000005</v>
      </c>
      <c r="Q28" s="601">
        <f t="shared" si="16"/>
        <v>288.75</v>
      </c>
      <c r="R28" s="594">
        <f t="shared" si="17"/>
        <v>219.35</v>
      </c>
      <c r="S28" s="596">
        <f t="shared" si="18"/>
        <v>382.95000000000005</v>
      </c>
      <c r="T28" s="596">
        <f t="shared" si="19"/>
        <v>403.40000000000003</v>
      </c>
      <c r="U28" s="601">
        <f t="shared" si="20"/>
        <v>429.7</v>
      </c>
      <c r="W28" s="34">
        <f t="shared" si="21"/>
        <v>10000</v>
      </c>
      <c r="X28" s="857">
        <f t="shared" si="7"/>
        <v>750</v>
      </c>
      <c r="Y28" s="528">
        <v>100</v>
      </c>
      <c r="AA28" s="531">
        <f t="shared" si="8"/>
        <v>13.299999999999999</v>
      </c>
      <c r="AB28" s="115">
        <f t="shared" si="9"/>
        <v>14.9625</v>
      </c>
      <c r="AC28" s="532">
        <f t="shared" si="10"/>
        <v>17.099999999999998</v>
      </c>
    </row>
    <row r="29" spans="1:29">
      <c r="A29" s="130">
        <f t="shared" si="11"/>
        <v>29</v>
      </c>
      <c r="B29" s="16"/>
      <c r="C29" s="617">
        <f t="shared" si="22"/>
        <v>100</v>
      </c>
      <c r="D29" s="12">
        <f t="shared" si="0"/>
        <v>134.10220895950283</v>
      </c>
      <c r="E29" s="12" t="s">
        <v>130</v>
      </c>
      <c r="F29" s="620">
        <f>MROUND(C29*((C29-INDEX(Aannames!$E$99:$E$105,MATCH(C29,Aannames!$E$99:$E$105,1)))/(INDEX(Aannames!$E$99:$E$105,MATCH(C29,Aannames!$E$99:$E$105,1)+1)-INDEX(Aannames!$E$99:$E$105,MATCH(C29,Aannames!$E$99:$E$105,1)))*INDEX(Aannames!$J$99:$J$105,MATCH(C29,Aannames!$E$99:$E$105,1)+1)
+(INDEX(Aannames!$E$99:$E$105,MATCH(C29,Aannames!$E$99:$E$105,1)+1)-C29)/(INDEX(Aannames!$E$99:$E$105,MATCH(C29,Aannames!$E$99:$E$105,1)+1)-INDEX(Aannames!$E$99:$E$105,MATCH(C29,Aannames!$E$99:$E$105,1)))*INDEX(Aannames!$J$99:$J$105,MATCH(C29,Aannames!$E$99:$E$105,1))),500)</f>
        <v>825000</v>
      </c>
      <c r="G29" s="594">
        <f t="shared" si="1"/>
        <v>74.25</v>
      </c>
      <c r="H29" s="594">
        <f t="shared" si="2"/>
        <v>10.600000000000001</v>
      </c>
      <c r="I29" s="600">
        <f t="shared" si="3"/>
        <v>63.550000000000004</v>
      </c>
      <c r="J29" s="601">
        <f t="shared" si="12"/>
        <v>148.4</v>
      </c>
      <c r="K29" s="594">
        <f t="shared" si="13"/>
        <v>82.5</v>
      </c>
      <c r="L29" s="594">
        <f t="shared" si="4"/>
        <v>172.20000000000002</v>
      </c>
      <c r="M29" s="594">
        <f t="shared" si="5"/>
        <v>193.75</v>
      </c>
      <c r="N29" s="600">
        <f t="shared" si="6"/>
        <v>221.4</v>
      </c>
      <c r="O29" s="596">
        <f t="shared" si="14"/>
        <v>254.70000000000002</v>
      </c>
      <c r="P29" s="596">
        <f t="shared" si="15"/>
        <v>276.25</v>
      </c>
      <c r="Q29" s="601">
        <f t="shared" si="16"/>
        <v>303.89999999999998</v>
      </c>
      <c r="R29" s="594">
        <f t="shared" si="17"/>
        <v>230.9</v>
      </c>
      <c r="S29" s="596">
        <f t="shared" si="18"/>
        <v>403.1</v>
      </c>
      <c r="T29" s="596">
        <f t="shared" si="19"/>
        <v>424.65</v>
      </c>
      <c r="U29" s="601">
        <f t="shared" si="20"/>
        <v>452.29999999999995</v>
      </c>
      <c r="W29" s="34">
        <f t="shared" si="21"/>
        <v>10000</v>
      </c>
      <c r="X29" s="857">
        <f t="shared" si="7"/>
        <v>750</v>
      </c>
      <c r="Y29" s="528">
        <v>100</v>
      </c>
      <c r="AA29" s="531">
        <f t="shared" si="8"/>
        <v>13.999999999999998</v>
      </c>
      <c r="AB29" s="115">
        <f t="shared" si="9"/>
        <v>15.75</v>
      </c>
      <c r="AC29" s="532">
        <f t="shared" si="10"/>
        <v>18</v>
      </c>
    </row>
    <row r="30" spans="1:29">
      <c r="A30" s="130">
        <f t="shared" si="11"/>
        <v>30</v>
      </c>
      <c r="B30" s="16"/>
      <c r="C30" s="617">
        <f t="shared" si="22"/>
        <v>105</v>
      </c>
      <c r="D30" s="12">
        <f t="shared" si="0"/>
        <v>140.80731940747796</v>
      </c>
      <c r="E30" s="12" t="s">
        <v>130</v>
      </c>
      <c r="F30" s="620">
        <f>MROUND(C30*((C30-INDEX(Aannames!$E$99:$E$105,MATCH(C30,Aannames!$E$99:$E$105,1)))/(INDEX(Aannames!$E$99:$E$105,MATCH(C30,Aannames!$E$99:$E$105,1)+1)-INDEX(Aannames!$E$99:$E$105,MATCH(C30,Aannames!$E$99:$E$105,1)))*INDEX(Aannames!$J$99:$J$105,MATCH(C30,Aannames!$E$99:$E$105,1)+1)
+(INDEX(Aannames!$E$99:$E$105,MATCH(C30,Aannames!$E$99:$E$105,1)+1)-C30)/(INDEX(Aannames!$E$99:$E$105,MATCH(C30,Aannames!$E$99:$E$105,1)+1)-INDEX(Aannames!$E$99:$E$105,MATCH(C30,Aannames!$E$99:$E$105,1)))*INDEX(Aannames!$J$99:$J$105,MATCH(C30,Aannames!$E$99:$E$105,1))),500)</f>
        <v>866500</v>
      </c>
      <c r="G30" s="594">
        <f t="shared" si="1"/>
        <v>78</v>
      </c>
      <c r="H30" s="594">
        <f t="shared" si="2"/>
        <v>11.100000000000001</v>
      </c>
      <c r="I30" s="600">
        <f t="shared" si="3"/>
        <v>66.7</v>
      </c>
      <c r="J30" s="601">
        <f t="shared" si="12"/>
        <v>155.80000000000001</v>
      </c>
      <c r="K30" s="594">
        <f t="shared" si="13"/>
        <v>86.65</v>
      </c>
      <c r="L30" s="594">
        <f t="shared" si="4"/>
        <v>180.8</v>
      </c>
      <c r="M30" s="594">
        <f t="shared" si="5"/>
        <v>203.4</v>
      </c>
      <c r="N30" s="600">
        <f t="shared" si="6"/>
        <v>232.45000000000002</v>
      </c>
      <c r="O30" s="596">
        <f t="shared" si="14"/>
        <v>267.45000000000005</v>
      </c>
      <c r="P30" s="596">
        <f t="shared" si="15"/>
        <v>290.05</v>
      </c>
      <c r="Q30" s="601">
        <f t="shared" si="16"/>
        <v>319.10000000000002</v>
      </c>
      <c r="R30" s="594">
        <f t="shared" si="17"/>
        <v>242.45000000000002</v>
      </c>
      <c r="S30" s="596">
        <f t="shared" si="18"/>
        <v>423.25000000000006</v>
      </c>
      <c r="T30" s="596">
        <f t="shared" si="19"/>
        <v>445.85</v>
      </c>
      <c r="U30" s="601">
        <f t="shared" si="20"/>
        <v>474.90000000000003</v>
      </c>
      <c r="W30" s="34">
        <f t="shared" si="21"/>
        <v>10000</v>
      </c>
      <c r="X30" s="857">
        <f t="shared" si="7"/>
        <v>750</v>
      </c>
      <c r="Y30" s="528">
        <v>100</v>
      </c>
      <c r="AA30" s="531">
        <f t="shared" si="8"/>
        <v>14.7</v>
      </c>
      <c r="AB30" s="115">
        <f t="shared" si="9"/>
        <v>16.537500000000001</v>
      </c>
      <c r="AC30" s="532">
        <f t="shared" si="10"/>
        <v>18.899999999999999</v>
      </c>
    </row>
    <row r="31" spans="1:29">
      <c r="A31" s="130">
        <f t="shared" si="11"/>
        <v>31</v>
      </c>
      <c r="B31" s="16"/>
      <c r="C31" s="617">
        <f t="shared" si="22"/>
        <v>110</v>
      </c>
      <c r="D31" s="12">
        <f t="shared" si="0"/>
        <v>147.51242985545309</v>
      </c>
      <c r="E31" s="12" t="s">
        <v>130</v>
      </c>
      <c r="F31" s="620">
        <f>MROUND(C31*((C31-INDEX(Aannames!$E$99:$E$105,MATCH(C31,Aannames!$E$99:$E$105,1)))/(INDEX(Aannames!$E$99:$E$105,MATCH(C31,Aannames!$E$99:$E$105,1)+1)-INDEX(Aannames!$E$99:$E$105,MATCH(C31,Aannames!$E$99:$E$105,1)))*INDEX(Aannames!$J$99:$J$105,MATCH(C31,Aannames!$E$99:$E$105,1)+1)
+(INDEX(Aannames!$E$99:$E$105,MATCH(C31,Aannames!$E$99:$E$105,1)+1)-C31)/(INDEX(Aannames!$E$99:$E$105,MATCH(C31,Aannames!$E$99:$E$105,1)+1)-INDEX(Aannames!$E$99:$E$105,MATCH(C31,Aannames!$E$99:$E$105,1)))*INDEX(Aannames!$J$99:$J$105,MATCH(C31,Aannames!$E$99:$E$105,1))),500)</f>
        <v>907500</v>
      </c>
      <c r="G31" s="594">
        <f t="shared" si="1"/>
        <v>81.650000000000006</v>
      </c>
      <c r="H31" s="594">
        <f t="shared" si="2"/>
        <v>11.65</v>
      </c>
      <c r="I31" s="600">
        <f t="shared" si="3"/>
        <v>69.900000000000006</v>
      </c>
      <c r="J31" s="601">
        <f t="shared" si="12"/>
        <v>163.20000000000002</v>
      </c>
      <c r="K31" s="594">
        <f t="shared" si="13"/>
        <v>90.75</v>
      </c>
      <c r="L31" s="594">
        <f t="shared" si="4"/>
        <v>189.4</v>
      </c>
      <c r="M31" s="594">
        <f t="shared" si="5"/>
        <v>213.10000000000002</v>
      </c>
      <c r="N31" s="600">
        <f t="shared" si="6"/>
        <v>243.55</v>
      </c>
      <c r="O31" s="596">
        <f t="shared" si="14"/>
        <v>280.14999999999998</v>
      </c>
      <c r="P31" s="596">
        <f t="shared" si="15"/>
        <v>303.85000000000002</v>
      </c>
      <c r="Q31" s="601">
        <f t="shared" si="16"/>
        <v>334.3</v>
      </c>
      <c r="R31" s="594">
        <f t="shared" si="17"/>
        <v>253.95000000000002</v>
      </c>
      <c r="S31" s="596">
        <f t="shared" si="18"/>
        <v>443.35</v>
      </c>
      <c r="T31" s="596">
        <f t="shared" si="19"/>
        <v>467.05000000000007</v>
      </c>
      <c r="U31" s="601">
        <f t="shared" si="20"/>
        <v>497.5</v>
      </c>
      <c r="W31" s="34">
        <f t="shared" si="21"/>
        <v>10000</v>
      </c>
      <c r="X31" s="857">
        <f t="shared" si="7"/>
        <v>750</v>
      </c>
      <c r="Y31" s="528">
        <v>100</v>
      </c>
      <c r="AA31" s="531">
        <f t="shared" si="8"/>
        <v>15.399999999999999</v>
      </c>
      <c r="AB31" s="115">
        <f t="shared" si="9"/>
        <v>17.324999999999999</v>
      </c>
      <c r="AC31" s="532">
        <f t="shared" si="10"/>
        <v>19.8</v>
      </c>
    </row>
    <row r="32" spans="1:29">
      <c r="A32" s="310">
        <f t="shared" si="11"/>
        <v>32</v>
      </c>
      <c r="B32" s="16"/>
      <c r="C32" s="617">
        <f t="shared" si="22"/>
        <v>115</v>
      </c>
      <c r="D32" s="12">
        <f t="shared" si="0"/>
        <v>154.21754030342825</v>
      </c>
      <c r="E32" s="12" t="s">
        <v>130</v>
      </c>
      <c r="F32" s="620">
        <f>MROUND(C32*((C32-INDEX(Aannames!$E$99:$E$105,MATCH(C32,Aannames!$E$99:$E$105,1)))/(INDEX(Aannames!$E$99:$E$105,MATCH(C32,Aannames!$E$99:$E$105,1)+1)-INDEX(Aannames!$E$99:$E$105,MATCH(C32,Aannames!$E$99:$E$105,1)))*INDEX(Aannames!$J$99:$J$105,MATCH(C32,Aannames!$E$99:$E$105,1)+1)
+(INDEX(Aannames!$E$99:$E$105,MATCH(C32,Aannames!$E$99:$E$105,1)+1)-C32)/(INDEX(Aannames!$E$99:$E$105,MATCH(C32,Aannames!$E$99:$E$105,1)+1)-INDEX(Aannames!$E$99:$E$105,MATCH(C32,Aannames!$E$99:$E$105,1)))*INDEX(Aannames!$J$99:$J$105,MATCH(C32,Aannames!$E$99:$E$105,1))),500)</f>
        <v>949000</v>
      </c>
      <c r="G32" s="594">
        <f t="shared" si="1"/>
        <v>85.4</v>
      </c>
      <c r="H32" s="594">
        <f t="shared" si="2"/>
        <v>12.200000000000001</v>
      </c>
      <c r="I32" s="600">
        <f t="shared" si="3"/>
        <v>73.05</v>
      </c>
      <c r="J32" s="601">
        <f>SUM(G32:I32)</f>
        <v>170.65</v>
      </c>
      <c r="K32" s="594">
        <f t="shared" si="13"/>
        <v>94.9</v>
      </c>
      <c r="L32" s="594">
        <f t="shared" si="4"/>
        <v>198.05</v>
      </c>
      <c r="M32" s="594">
        <f t="shared" si="5"/>
        <v>222.8</v>
      </c>
      <c r="N32" s="600">
        <f t="shared" si="6"/>
        <v>254.60000000000002</v>
      </c>
      <c r="O32" s="596">
        <f>SUM($K32,L32)</f>
        <v>292.95000000000005</v>
      </c>
      <c r="P32" s="596">
        <f>SUM($K32,M32)</f>
        <v>317.70000000000005</v>
      </c>
      <c r="Q32" s="601">
        <f>SUM($K32,N32)</f>
        <v>349.5</v>
      </c>
      <c r="R32" s="594">
        <f>J32+K32</f>
        <v>265.55</v>
      </c>
      <c r="S32" s="596">
        <f>SUM($J32,O32)</f>
        <v>463.6</v>
      </c>
      <c r="T32" s="596">
        <f>SUM($J32,P32)</f>
        <v>488.35</v>
      </c>
      <c r="U32" s="601">
        <f>SUM($J32,Q32)</f>
        <v>520.15</v>
      </c>
      <c r="W32" s="34">
        <f t="shared" si="21"/>
        <v>10000</v>
      </c>
      <c r="X32" s="857">
        <f t="shared" si="7"/>
        <v>750</v>
      </c>
      <c r="Y32" s="528">
        <v>100</v>
      </c>
      <c r="AA32" s="531">
        <f t="shared" si="8"/>
        <v>16.099999999999998</v>
      </c>
      <c r="AB32" s="115">
        <f t="shared" si="9"/>
        <v>18.112500000000001</v>
      </c>
      <c r="AC32" s="532">
        <f t="shared" si="10"/>
        <v>20.7</v>
      </c>
    </row>
    <row r="33" spans="1:30" ht="7.5" customHeight="1">
      <c r="A33" s="310" t="str">
        <f t="shared" si="11"/>
        <v/>
      </c>
      <c r="C33" s="619"/>
      <c r="D33" s="35"/>
      <c r="E33" s="35"/>
      <c r="F33" s="563"/>
      <c r="G33" s="605"/>
      <c r="H33" s="605"/>
      <c r="I33" s="605"/>
      <c r="J33" s="607"/>
      <c r="K33" s="605"/>
      <c r="L33" s="605"/>
      <c r="M33" s="605"/>
      <c r="N33" s="605"/>
      <c r="O33" s="607"/>
      <c r="P33" s="607"/>
      <c r="Q33" s="607"/>
      <c r="R33" s="605"/>
      <c r="S33" s="607"/>
      <c r="T33" s="607"/>
      <c r="U33" s="628"/>
      <c r="W33" s="21"/>
      <c r="X33" s="20"/>
      <c r="Y33" s="22"/>
      <c r="AA33" s="21"/>
      <c r="AB33" s="20"/>
      <c r="AC33" s="22"/>
    </row>
    <row r="34" spans="1:30" ht="7.5" customHeight="1">
      <c r="A34" s="310" t="str">
        <f t="shared" si="11"/>
        <v/>
      </c>
      <c r="B34" s="16"/>
      <c r="C34" s="2"/>
      <c r="D34" s="2"/>
      <c r="E34" s="2"/>
      <c r="F34" s="2"/>
      <c r="G34" s="2"/>
      <c r="H34" s="2"/>
      <c r="I34" s="2"/>
      <c r="J34" s="2"/>
      <c r="K34" s="2"/>
      <c r="L34" s="2"/>
      <c r="M34" s="2"/>
      <c r="N34" s="2"/>
      <c r="O34" s="2"/>
      <c r="P34" s="2"/>
      <c r="Q34" s="2"/>
      <c r="R34" s="2"/>
      <c r="S34" s="2"/>
      <c r="T34" s="2"/>
      <c r="U34" s="2"/>
      <c r="V34" s="16"/>
      <c r="Z34" s="16"/>
    </row>
    <row r="35" spans="1:30">
      <c r="A35" s="252"/>
      <c r="B35" s="16"/>
      <c r="C35" s="2"/>
      <c r="D35" s="2"/>
      <c r="E35" s="2"/>
      <c r="F35" s="2"/>
      <c r="G35" s="2"/>
      <c r="H35" s="2"/>
      <c r="I35" s="2"/>
      <c r="J35" s="2"/>
      <c r="K35" s="2"/>
      <c r="L35" s="2"/>
      <c r="M35" s="2"/>
      <c r="N35" s="2"/>
      <c r="O35" s="2"/>
      <c r="P35" s="2"/>
      <c r="Q35" s="2"/>
      <c r="R35" s="2"/>
      <c r="S35" s="2"/>
      <c r="T35" s="2"/>
      <c r="U35" s="2"/>
      <c r="V35" s="16"/>
      <c r="Z35" s="16"/>
    </row>
    <row r="36" spans="1:30" s="452" customFormat="1" ht="22.5" customHeight="1" thickBot="1">
      <c r="A36" s="31"/>
      <c r="B36" s="287">
        <f>ROUNDDOWN(MAX($B$8:B35),0)+1</f>
        <v>2</v>
      </c>
      <c r="C36" s="300" t="s">
        <v>69</v>
      </c>
      <c r="D36" s="301"/>
      <c r="E36" s="301"/>
      <c r="F36" s="301"/>
      <c r="G36" s="301"/>
      <c r="H36" s="301"/>
      <c r="I36" s="301"/>
      <c r="J36" s="301"/>
      <c r="K36" s="301"/>
      <c r="L36" s="301"/>
      <c r="M36" s="301"/>
      <c r="N36" s="301"/>
      <c r="O36" s="301"/>
      <c r="P36" s="301"/>
      <c r="Q36" s="301"/>
      <c r="R36" s="289"/>
      <c r="S36" s="301"/>
      <c r="T36" s="301"/>
      <c r="U36" s="302"/>
      <c r="V36" s="158"/>
      <c r="W36" s="300"/>
      <c r="X36" s="301"/>
      <c r="Y36" s="302"/>
      <c r="Z36" s="158"/>
      <c r="AA36" s="300"/>
      <c r="AB36" s="301"/>
      <c r="AC36" s="302"/>
      <c r="AD36" s="69"/>
    </row>
    <row r="37" spans="1:30" ht="9.9499999999999993" customHeight="1">
      <c r="A37" s="310" t="str">
        <f>IF(ISNUMBER(D37),ROW(),"")</f>
        <v/>
      </c>
      <c r="B37" s="16"/>
      <c r="C37" s="618"/>
      <c r="D37" s="220"/>
      <c r="E37" s="220"/>
      <c r="F37" s="621"/>
      <c r="G37" s="624"/>
      <c r="H37" s="624"/>
      <c r="I37" s="624"/>
      <c r="J37" s="624"/>
      <c r="K37" s="624"/>
      <c r="L37" s="624"/>
      <c r="M37" s="624"/>
      <c r="N37" s="624"/>
      <c r="O37" s="624"/>
      <c r="P37" s="624"/>
      <c r="Q37" s="624"/>
      <c r="R37" s="624"/>
      <c r="S37" s="624"/>
      <c r="T37" s="624"/>
      <c r="U37" s="625"/>
      <c r="W37" s="219"/>
      <c r="X37" s="220"/>
      <c r="Y37" s="221"/>
      <c r="AA37" s="219"/>
      <c r="AB37" s="220"/>
      <c r="AC37" s="221"/>
    </row>
    <row r="38" spans="1:30">
      <c r="A38" s="30">
        <f>IF(ISNUMBER(D38),ROW(),"")</f>
        <v>38</v>
      </c>
      <c r="B38" s="16"/>
      <c r="C38" s="617">
        <v>10</v>
      </c>
      <c r="D38" s="12">
        <f t="shared" ref="D38:D69" si="23">C38*PKperKW</f>
        <v>13.410220895950282</v>
      </c>
      <c r="E38" s="12" t="s">
        <v>131</v>
      </c>
      <c r="F38" s="620">
        <f>MROUND(C38*((C38-INDEX(Aannames!$E$99:$E$105,MATCH(C38,Aannames!$E$99:$E$105,1)))/(INDEX(Aannames!$E$99:$E$105,MATCH(C38,Aannames!$E$99:$E$105,1)+1)-INDEX(Aannames!$E$99:$E$105,MATCH(C38,Aannames!$E$99:$E$105,1)))*INDEX(Aannames!$M$99:$M$105,MATCH(C38,Aannames!$E$99:$E$105,1)+1)
+(INDEX(Aannames!$E$99:$E$105,MATCH(C38,Aannames!$E$99:$E$105,1)+1)-C38)/(INDEX(Aannames!$E$99:$E$105,MATCH(C38,Aannames!$E$99:$E$105,1)+1)-INDEX(Aannames!$E$99:$E$105,MATCH(C38,Aannames!$E$99:$E$105,1)))*INDEX(Aannames!$M$99:$M$105,MATCH(C38,Aannames!$E$99:$E$105,1))),500)</f>
        <v>78000</v>
      </c>
      <c r="G38" s="594">
        <f t="shared" ref="G38:G75" si="24">MROUND($F38*(1-$G$126/100)/W38,0.05)</f>
        <v>7</v>
      </c>
      <c r="H38" s="594">
        <f t="shared" ref="H38:H75" si="25">MROUND($F38*(1+$G$126/100)/2*$H$134/100/$X38,0.05)</f>
        <v>1</v>
      </c>
      <c r="I38" s="600">
        <f t="shared" ref="I38:I75" si="26">MROUND($F38*(1+$G$126/100)/2*$G$127/100/X38,0.05)</f>
        <v>6</v>
      </c>
      <c r="J38" s="601">
        <f t="shared" ref="J38:J106" si="27">SUM(G38:I38)</f>
        <v>14</v>
      </c>
      <c r="K38" s="594">
        <f t="shared" ref="K38:K106" si="28">MROUND($F38*Y38/100/W38,0.05)</f>
        <v>7.8000000000000007</v>
      </c>
      <c r="L38" s="594">
        <f t="shared" ref="L38:L75" si="29">MROUND($C38*$L$141*$G$128,0.05)</f>
        <v>17.2</v>
      </c>
      <c r="M38" s="594">
        <f t="shared" ref="M38:M75" si="30">MROUND($C38*$L$142*$G$128,0.05)</f>
        <v>19.350000000000001</v>
      </c>
      <c r="N38" s="600">
        <f t="shared" ref="N38:N75" si="31">MROUND($C38*$L$143*$G$128,0.05)</f>
        <v>22.150000000000002</v>
      </c>
      <c r="O38" s="596">
        <f t="shared" ref="O38:O106" si="32">SUM($K38,L38)</f>
        <v>25</v>
      </c>
      <c r="P38" s="596">
        <f t="shared" ref="P38:P106" si="33">SUM($K38,M38)</f>
        <v>27.150000000000002</v>
      </c>
      <c r="Q38" s="601">
        <f t="shared" ref="Q38:Q106" si="34">SUM($K38,N38)</f>
        <v>29.950000000000003</v>
      </c>
      <c r="R38" s="594">
        <f t="shared" ref="R38:R106" si="35">J38+K38</f>
        <v>21.8</v>
      </c>
      <c r="S38" s="596">
        <f t="shared" ref="S38:S106" si="36">SUM($J38,O38)</f>
        <v>39</v>
      </c>
      <c r="T38" s="596">
        <f t="shared" ref="T38:T106" si="37">SUM($J38,P38)</f>
        <v>41.150000000000006</v>
      </c>
      <c r="U38" s="599">
        <f t="shared" ref="U38:U106" si="38">SUM($J38,Q38)</f>
        <v>43.95</v>
      </c>
      <c r="W38" s="34">
        <f t="shared" ref="W38:W75" si="39">$H$137</f>
        <v>10000</v>
      </c>
      <c r="X38" s="857">
        <f t="shared" ref="X38:X75" si="40">IF(C38&lt;=180,$H$138,IF(C38&gt;180,$H$139,"-"))</f>
        <v>750</v>
      </c>
      <c r="Y38" s="528">
        <v>100</v>
      </c>
      <c r="AA38" s="531">
        <f t="shared" ref="AA38:AA75" si="41">C38*$L$141</f>
        <v>1.4</v>
      </c>
      <c r="AB38" s="115">
        <f t="shared" ref="AB38:AB75" si="42">C38*$L$142</f>
        <v>1.575</v>
      </c>
      <c r="AC38" s="532">
        <f t="shared" ref="AC38:AC69" si="43">C38*$L$143</f>
        <v>1.7999999999999998</v>
      </c>
    </row>
    <row r="39" spans="1:30">
      <c r="A39" s="130">
        <f t="shared" ref="A39:A107" si="44">IF(ISNUMBER(D39),ROW(),"")</f>
        <v>39</v>
      </c>
      <c r="B39" s="16"/>
      <c r="C39" s="617">
        <f>C38+5</f>
        <v>15</v>
      </c>
      <c r="D39" s="12">
        <f t="shared" si="23"/>
        <v>20.115331343925423</v>
      </c>
      <c r="E39" s="12" t="s">
        <v>131</v>
      </c>
      <c r="F39" s="620">
        <f>MROUND(C39*((C39-INDEX(Aannames!$E$99:$E$105,MATCH(C39,Aannames!$E$99:$E$105,1)))/(INDEX(Aannames!$E$99:$E$105,MATCH(C39,Aannames!$E$99:$E$105,1)+1)-INDEX(Aannames!$E$99:$E$105,MATCH(C39,Aannames!$E$99:$E$105,1)))*INDEX(Aannames!$M$99:$M$105,MATCH(C39,Aannames!$E$99:$E$105,1)+1)
+(INDEX(Aannames!$E$99:$E$105,MATCH(C39,Aannames!$E$99:$E$105,1)+1)-C39)/(INDEX(Aannames!$E$99:$E$105,MATCH(C39,Aannames!$E$99:$E$105,1)+1)-INDEX(Aannames!$E$99:$E$105,MATCH(C39,Aannames!$E$99:$E$105,1)))*INDEX(Aannames!$M$99:$M$105,MATCH(C39,Aannames!$E$99:$E$105,1))),500)</f>
        <v>121000</v>
      </c>
      <c r="G39" s="594">
        <f t="shared" si="24"/>
        <v>10.9</v>
      </c>
      <c r="H39" s="594">
        <f t="shared" si="25"/>
        <v>1.55</v>
      </c>
      <c r="I39" s="600">
        <f t="shared" si="26"/>
        <v>9.3000000000000007</v>
      </c>
      <c r="J39" s="601">
        <f t="shared" si="27"/>
        <v>21.75</v>
      </c>
      <c r="K39" s="594">
        <f t="shared" si="28"/>
        <v>12.100000000000001</v>
      </c>
      <c r="L39" s="594">
        <f t="shared" si="29"/>
        <v>25.85</v>
      </c>
      <c r="M39" s="594">
        <f t="shared" si="30"/>
        <v>29.05</v>
      </c>
      <c r="N39" s="600">
        <f t="shared" si="31"/>
        <v>33.200000000000003</v>
      </c>
      <c r="O39" s="596">
        <f t="shared" si="32"/>
        <v>37.950000000000003</v>
      </c>
      <c r="P39" s="596">
        <f t="shared" si="33"/>
        <v>41.150000000000006</v>
      </c>
      <c r="Q39" s="601">
        <f t="shared" si="34"/>
        <v>45.300000000000004</v>
      </c>
      <c r="R39" s="594">
        <f t="shared" si="35"/>
        <v>33.85</v>
      </c>
      <c r="S39" s="596">
        <f t="shared" si="36"/>
        <v>59.7</v>
      </c>
      <c r="T39" s="596">
        <f t="shared" si="37"/>
        <v>62.900000000000006</v>
      </c>
      <c r="U39" s="599">
        <f t="shared" si="38"/>
        <v>67.050000000000011</v>
      </c>
      <c r="W39" s="34">
        <f t="shared" si="39"/>
        <v>10000</v>
      </c>
      <c r="X39" s="857">
        <f t="shared" si="40"/>
        <v>750</v>
      </c>
      <c r="Y39" s="528">
        <v>100</v>
      </c>
      <c r="AA39" s="531">
        <f t="shared" si="41"/>
        <v>2.0999999999999996</v>
      </c>
      <c r="AB39" s="115">
        <f t="shared" si="42"/>
        <v>2.3624999999999998</v>
      </c>
      <c r="AC39" s="532">
        <f t="shared" si="43"/>
        <v>2.6999999999999997</v>
      </c>
    </row>
    <row r="40" spans="1:30">
      <c r="A40" s="130">
        <f t="shared" si="44"/>
        <v>40</v>
      </c>
      <c r="B40" s="16"/>
      <c r="C40" s="617">
        <f t="shared" ref="C40:C101" si="45">C39+5</f>
        <v>20</v>
      </c>
      <c r="D40" s="12">
        <f t="shared" si="23"/>
        <v>26.820441791900564</v>
      </c>
      <c r="E40" s="12" t="s">
        <v>131</v>
      </c>
      <c r="F40" s="620">
        <f>MROUND(C40*((C40-INDEX(Aannames!$E$99:$E$105,MATCH(C40,Aannames!$E$99:$E$105,1)))/(INDEX(Aannames!$E$99:$E$105,MATCH(C40,Aannames!$E$99:$E$105,1)+1)-INDEX(Aannames!$E$99:$E$105,MATCH(C40,Aannames!$E$99:$E$105,1)))*INDEX(Aannames!$M$99:$M$105,MATCH(C40,Aannames!$E$99:$E$105,1)+1)
+(INDEX(Aannames!$E$99:$E$105,MATCH(C40,Aannames!$E$99:$E$105,1)+1)-C40)/(INDEX(Aannames!$E$99:$E$105,MATCH(C40,Aannames!$E$99:$E$105,1)+1)-INDEX(Aannames!$E$99:$E$105,MATCH(C40,Aannames!$E$99:$E$105,1)))*INDEX(Aannames!$M$99:$M$105,MATCH(C40,Aannames!$E$99:$E$105,1))),500)</f>
        <v>166000</v>
      </c>
      <c r="G40" s="594">
        <f t="shared" si="24"/>
        <v>14.950000000000001</v>
      </c>
      <c r="H40" s="594">
        <f t="shared" si="25"/>
        <v>2.15</v>
      </c>
      <c r="I40" s="600">
        <f t="shared" si="26"/>
        <v>12.8</v>
      </c>
      <c r="J40" s="601">
        <f t="shared" si="27"/>
        <v>29.900000000000002</v>
      </c>
      <c r="K40" s="594">
        <f t="shared" si="28"/>
        <v>16.600000000000001</v>
      </c>
      <c r="L40" s="594">
        <f t="shared" si="29"/>
        <v>34.450000000000003</v>
      </c>
      <c r="M40" s="594">
        <f t="shared" si="30"/>
        <v>38.75</v>
      </c>
      <c r="N40" s="600">
        <f t="shared" si="31"/>
        <v>44.300000000000004</v>
      </c>
      <c r="O40" s="596">
        <f t="shared" si="32"/>
        <v>51.050000000000004</v>
      </c>
      <c r="P40" s="596">
        <f t="shared" si="33"/>
        <v>55.35</v>
      </c>
      <c r="Q40" s="601">
        <f t="shared" si="34"/>
        <v>60.900000000000006</v>
      </c>
      <c r="R40" s="594">
        <f t="shared" si="35"/>
        <v>46.5</v>
      </c>
      <c r="S40" s="596">
        <f t="shared" si="36"/>
        <v>80.95</v>
      </c>
      <c r="T40" s="596">
        <f t="shared" si="37"/>
        <v>85.25</v>
      </c>
      <c r="U40" s="599">
        <f t="shared" si="38"/>
        <v>90.800000000000011</v>
      </c>
      <c r="W40" s="34">
        <f t="shared" si="39"/>
        <v>10000</v>
      </c>
      <c r="X40" s="857">
        <f t="shared" si="40"/>
        <v>750</v>
      </c>
      <c r="Y40" s="528">
        <v>100</v>
      </c>
      <c r="AA40" s="531">
        <f t="shared" si="41"/>
        <v>2.8</v>
      </c>
      <c r="AB40" s="115">
        <f t="shared" si="42"/>
        <v>3.15</v>
      </c>
      <c r="AC40" s="532">
        <f t="shared" si="43"/>
        <v>3.5999999999999996</v>
      </c>
    </row>
    <row r="41" spans="1:30">
      <c r="A41" s="130">
        <f t="shared" si="44"/>
        <v>41</v>
      </c>
      <c r="B41" s="16"/>
      <c r="C41" s="617">
        <f t="shared" si="45"/>
        <v>25</v>
      </c>
      <c r="D41" s="12">
        <f t="shared" si="23"/>
        <v>33.525552239875708</v>
      </c>
      <c r="E41" s="12" t="s">
        <v>131</v>
      </c>
      <c r="F41" s="620">
        <f>MROUND(C41*((C41-INDEX(Aannames!$E$99:$E$105,MATCH(C41,Aannames!$E$99:$E$105,1)))/(INDEX(Aannames!$E$99:$E$105,MATCH(C41,Aannames!$E$99:$E$105,1)+1)-INDEX(Aannames!$E$99:$E$105,MATCH(C41,Aannames!$E$99:$E$105,1)))*INDEX(Aannames!$M$99:$M$105,MATCH(C41,Aannames!$E$99:$E$105,1)+1)
+(INDEX(Aannames!$E$99:$E$105,MATCH(C41,Aannames!$E$99:$E$105,1)+1)-C41)/(INDEX(Aannames!$E$99:$E$105,MATCH(C41,Aannames!$E$99:$E$105,1)+1)-INDEX(Aannames!$E$99:$E$105,MATCH(C41,Aannames!$E$99:$E$105,1)))*INDEX(Aannames!$M$99:$M$105,MATCH(C41,Aannames!$E$99:$E$105,1))),500)</f>
        <v>214000</v>
      </c>
      <c r="G41" s="594">
        <f t="shared" si="24"/>
        <v>19.25</v>
      </c>
      <c r="H41" s="594">
        <f t="shared" si="25"/>
        <v>2.75</v>
      </c>
      <c r="I41" s="600">
        <f t="shared" si="26"/>
        <v>16.5</v>
      </c>
      <c r="J41" s="601">
        <f t="shared" si="27"/>
        <v>38.5</v>
      </c>
      <c r="K41" s="594">
        <f t="shared" si="28"/>
        <v>21.400000000000002</v>
      </c>
      <c r="L41" s="594">
        <f t="shared" si="29"/>
        <v>43.050000000000004</v>
      </c>
      <c r="M41" s="594">
        <f t="shared" si="30"/>
        <v>48.45</v>
      </c>
      <c r="N41" s="600">
        <f t="shared" si="31"/>
        <v>55.35</v>
      </c>
      <c r="O41" s="596">
        <f t="shared" si="32"/>
        <v>64.45</v>
      </c>
      <c r="P41" s="596">
        <f t="shared" si="33"/>
        <v>69.850000000000009</v>
      </c>
      <c r="Q41" s="601">
        <f t="shared" si="34"/>
        <v>76.75</v>
      </c>
      <c r="R41" s="594">
        <f t="shared" si="35"/>
        <v>59.900000000000006</v>
      </c>
      <c r="S41" s="596">
        <f t="shared" si="36"/>
        <v>102.95</v>
      </c>
      <c r="T41" s="596">
        <f t="shared" si="37"/>
        <v>108.35000000000001</v>
      </c>
      <c r="U41" s="599">
        <f t="shared" si="38"/>
        <v>115.25</v>
      </c>
      <c r="W41" s="34">
        <f t="shared" si="39"/>
        <v>10000</v>
      </c>
      <c r="X41" s="857">
        <f t="shared" si="40"/>
        <v>750</v>
      </c>
      <c r="Y41" s="528">
        <v>100</v>
      </c>
      <c r="AA41" s="531">
        <f t="shared" si="41"/>
        <v>3.4999999999999996</v>
      </c>
      <c r="AB41" s="115">
        <f t="shared" si="42"/>
        <v>3.9375</v>
      </c>
      <c r="AC41" s="532">
        <f t="shared" si="43"/>
        <v>4.5</v>
      </c>
    </row>
    <row r="42" spans="1:30">
      <c r="A42" s="130">
        <f t="shared" si="44"/>
        <v>42</v>
      </c>
      <c r="B42" s="16"/>
      <c r="C42" s="617">
        <f t="shared" si="45"/>
        <v>30</v>
      </c>
      <c r="D42" s="12">
        <f t="shared" si="23"/>
        <v>40.230662687850845</v>
      </c>
      <c r="E42" s="12" t="s">
        <v>131</v>
      </c>
      <c r="F42" s="620">
        <f>MROUND(C42*((C42-INDEX(Aannames!$E$99:$E$105,MATCH(C42,Aannames!$E$99:$E$105,1)))/(INDEX(Aannames!$E$99:$E$105,MATCH(C42,Aannames!$E$99:$E$105,1)+1)-INDEX(Aannames!$E$99:$E$105,MATCH(C42,Aannames!$E$99:$E$105,1)))*INDEX(Aannames!$M$99:$M$105,MATCH(C42,Aannames!$E$99:$E$105,1)+1)
+(INDEX(Aannames!$E$99:$E$105,MATCH(C42,Aannames!$E$99:$E$105,1)+1)-C42)/(INDEX(Aannames!$E$99:$E$105,MATCH(C42,Aannames!$E$99:$E$105,1)+1)-INDEX(Aannames!$E$99:$E$105,MATCH(C42,Aannames!$E$99:$E$105,1)))*INDEX(Aannames!$M$99:$M$105,MATCH(C42,Aannames!$E$99:$E$105,1))),500)</f>
        <v>264000</v>
      </c>
      <c r="G42" s="594">
        <f t="shared" si="24"/>
        <v>23.75</v>
      </c>
      <c r="H42" s="594">
        <f t="shared" si="25"/>
        <v>3.4000000000000004</v>
      </c>
      <c r="I42" s="600">
        <f t="shared" si="26"/>
        <v>20.350000000000001</v>
      </c>
      <c r="J42" s="601">
        <f t="shared" si="27"/>
        <v>47.5</v>
      </c>
      <c r="K42" s="594">
        <f t="shared" si="28"/>
        <v>26.400000000000002</v>
      </c>
      <c r="L42" s="594">
        <f t="shared" si="29"/>
        <v>51.650000000000006</v>
      </c>
      <c r="M42" s="594">
        <f t="shared" si="30"/>
        <v>58.1</v>
      </c>
      <c r="N42" s="600">
        <f t="shared" si="31"/>
        <v>66.400000000000006</v>
      </c>
      <c r="O42" s="596">
        <f t="shared" si="32"/>
        <v>78.050000000000011</v>
      </c>
      <c r="P42" s="596">
        <f t="shared" si="33"/>
        <v>84.5</v>
      </c>
      <c r="Q42" s="601">
        <f t="shared" si="34"/>
        <v>92.800000000000011</v>
      </c>
      <c r="R42" s="594">
        <f t="shared" si="35"/>
        <v>73.900000000000006</v>
      </c>
      <c r="S42" s="596">
        <f t="shared" si="36"/>
        <v>125.55000000000001</v>
      </c>
      <c r="T42" s="596">
        <f t="shared" si="37"/>
        <v>132</v>
      </c>
      <c r="U42" s="599">
        <f t="shared" si="38"/>
        <v>140.30000000000001</v>
      </c>
      <c r="W42" s="34">
        <f t="shared" si="39"/>
        <v>10000</v>
      </c>
      <c r="X42" s="857">
        <f t="shared" si="40"/>
        <v>750</v>
      </c>
      <c r="Y42" s="528">
        <v>100</v>
      </c>
      <c r="AA42" s="531">
        <f t="shared" si="41"/>
        <v>4.1999999999999993</v>
      </c>
      <c r="AB42" s="115">
        <f t="shared" si="42"/>
        <v>4.7249999999999996</v>
      </c>
      <c r="AC42" s="532">
        <f t="shared" si="43"/>
        <v>5.3999999999999995</v>
      </c>
    </row>
    <row r="43" spans="1:30">
      <c r="A43" s="130">
        <f t="shared" si="44"/>
        <v>43</v>
      </c>
      <c r="B43" s="16"/>
      <c r="C43" s="617">
        <f t="shared" si="45"/>
        <v>35</v>
      </c>
      <c r="D43" s="12">
        <f t="shared" si="23"/>
        <v>46.93577313582599</v>
      </c>
      <c r="E43" s="12" t="s">
        <v>131</v>
      </c>
      <c r="F43" s="620">
        <f>MROUND(C43*((C43-INDEX(Aannames!$E$99:$E$105,MATCH(C43,Aannames!$E$99:$E$105,1)))/(INDEX(Aannames!$E$99:$E$105,MATCH(C43,Aannames!$E$99:$E$105,1)+1)-INDEX(Aannames!$E$99:$E$105,MATCH(C43,Aannames!$E$99:$E$105,1)))*INDEX(Aannames!$M$99:$M$105,MATCH(C43,Aannames!$E$99:$E$105,1)+1)
+(INDEX(Aannames!$E$99:$E$105,MATCH(C43,Aannames!$E$99:$E$105,1)+1)-C43)/(INDEX(Aannames!$E$99:$E$105,MATCH(C43,Aannames!$E$99:$E$105,1)+1)-INDEX(Aannames!$E$99:$E$105,MATCH(C43,Aannames!$E$99:$E$105,1)))*INDEX(Aannames!$M$99:$M$105,MATCH(C43,Aannames!$E$99:$E$105,1))),500)</f>
        <v>316500</v>
      </c>
      <c r="G43" s="594">
        <f t="shared" si="24"/>
        <v>28.5</v>
      </c>
      <c r="H43" s="594">
        <f t="shared" si="25"/>
        <v>4.05</v>
      </c>
      <c r="I43" s="600">
        <f t="shared" si="26"/>
        <v>24.35</v>
      </c>
      <c r="J43" s="601">
        <f t="shared" si="27"/>
        <v>56.9</v>
      </c>
      <c r="K43" s="594">
        <f t="shared" si="28"/>
        <v>31.650000000000002</v>
      </c>
      <c r="L43" s="594">
        <f t="shared" si="29"/>
        <v>60.25</v>
      </c>
      <c r="M43" s="594">
        <f t="shared" si="30"/>
        <v>67.8</v>
      </c>
      <c r="N43" s="600">
        <f t="shared" si="31"/>
        <v>77.5</v>
      </c>
      <c r="O43" s="596">
        <f t="shared" si="32"/>
        <v>91.9</v>
      </c>
      <c r="P43" s="596">
        <f t="shared" si="33"/>
        <v>99.45</v>
      </c>
      <c r="Q43" s="601">
        <f t="shared" si="34"/>
        <v>109.15</v>
      </c>
      <c r="R43" s="594">
        <f t="shared" si="35"/>
        <v>88.55</v>
      </c>
      <c r="S43" s="596">
        <f t="shared" si="36"/>
        <v>148.80000000000001</v>
      </c>
      <c r="T43" s="596">
        <f t="shared" si="37"/>
        <v>156.35</v>
      </c>
      <c r="U43" s="599">
        <f t="shared" si="38"/>
        <v>166.05</v>
      </c>
      <c r="W43" s="34">
        <f t="shared" si="39"/>
        <v>10000</v>
      </c>
      <c r="X43" s="857">
        <f t="shared" si="40"/>
        <v>750</v>
      </c>
      <c r="Y43" s="528">
        <v>100</v>
      </c>
      <c r="AA43" s="531">
        <f t="shared" si="41"/>
        <v>4.8999999999999995</v>
      </c>
      <c r="AB43" s="115">
        <f t="shared" si="42"/>
        <v>5.5125000000000002</v>
      </c>
      <c r="AC43" s="532">
        <f t="shared" si="43"/>
        <v>6.3</v>
      </c>
    </row>
    <row r="44" spans="1:30">
      <c r="A44" s="130">
        <f t="shared" si="44"/>
        <v>44</v>
      </c>
      <c r="B44" s="16"/>
      <c r="C44" s="617">
        <f t="shared" si="45"/>
        <v>40</v>
      </c>
      <c r="D44" s="12">
        <f t="shared" si="23"/>
        <v>53.640883583801127</v>
      </c>
      <c r="E44" s="12" t="s">
        <v>131</v>
      </c>
      <c r="F44" s="620">
        <f>MROUND(C44*((C44-INDEX(Aannames!$E$99:$E$105,MATCH(C44,Aannames!$E$99:$E$105,1)))/(INDEX(Aannames!$E$99:$E$105,MATCH(C44,Aannames!$E$99:$E$105,1)+1)-INDEX(Aannames!$E$99:$E$105,MATCH(C44,Aannames!$E$99:$E$105,1)))*INDEX(Aannames!$M$99:$M$105,MATCH(C44,Aannames!$E$99:$E$105,1)+1)
+(INDEX(Aannames!$E$99:$E$105,MATCH(C44,Aannames!$E$99:$E$105,1)+1)-C44)/(INDEX(Aannames!$E$99:$E$105,MATCH(C44,Aannames!$E$99:$E$105,1)+1)-INDEX(Aannames!$E$99:$E$105,MATCH(C44,Aannames!$E$99:$E$105,1)))*INDEX(Aannames!$M$99:$M$105,MATCH(C44,Aannames!$E$99:$E$105,1))),500)</f>
        <v>371500</v>
      </c>
      <c r="G44" s="594">
        <f t="shared" si="24"/>
        <v>33.450000000000003</v>
      </c>
      <c r="H44" s="594">
        <f t="shared" si="25"/>
        <v>4.75</v>
      </c>
      <c r="I44" s="600">
        <f t="shared" si="26"/>
        <v>28.6</v>
      </c>
      <c r="J44" s="601">
        <f t="shared" si="27"/>
        <v>66.800000000000011</v>
      </c>
      <c r="K44" s="594">
        <f t="shared" si="28"/>
        <v>37.15</v>
      </c>
      <c r="L44" s="594">
        <f t="shared" si="29"/>
        <v>68.900000000000006</v>
      </c>
      <c r="M44" s="594">
        <f t="shared" si="30"/>
        <v>77.5</v>
      </c>
      <c r="N44" s="600">
        <f t="shared" si="31"/>
        <v>88.550000000000011</v>
      </c>
      <c r="O44" s="596">
        <f t="shared" si="32"/>
        <v>106.05000000000001</v>
      </c>
      <c r="P44" s="596">
        <f t="shared" si="33"/>
        <v>114.65</v>
      </c>
      <c r="Q44" s="601">
        <f t="shared" si="34"/>
        <v>125.70000000000002</v>
      </c>
      <c r="R44" s="594">
        <f t="shared" si="35"/>
        <v>103.95000000000002</v>
      </c>
      <c r="S44" s="596">
        <f t="shared" si="36"/>
        <v>172.85000000000002</v>
      </c>
      <c r="T44" s="596">
        <f t="shared" si="37"/>
        <v>181.45000000000002</v>
      </c>
      <c r="U44" s="599">
        <f t="shared" si="38"/>
        <v>192.50000000000003</v>
      </c>
      <c r="W44" s="34">
        <f t="shared" si="39"/>
        <v>10000</v>
      </c>
      <c r="X44" s="857">
        <f t="shared" si="40"/>
        <v>750</v>
      </c>
      <c r="Y44" s="528">
        <v>100</v>
      </c>
      <c r="AA44" s="531">
        <f t="shared" si="41"/>
        <v>5.6</v>
      </c>
      <c r="AB44" s="115">
        <f t="shared" si="42"/>
        <v>6.3</v>
      </c>
      <c r="AC44" s="532">
        <f t="shared" si="43"/>
        <v>7.1999999999999993</v>
      </c>
    </row>
    <row r="45" spans="1:30">
      <c r="A45" s="130">
        <f t="shared" si="44"/>
        <v>45</v>
      </c>
      <c r="B45" s="16"/>
      <c r="C45" s="617">
        <f t="shared" si="45"/>
        <v>45</v>
      </c>
      <c r="D45" s="12">
        <f t="shared" si="23"/>
        <v>60.345994031776272</v>
      </c>
      <c r="E45" s="12" t="s">
        <v>131</v>
      </c>
      <c r="F45" s="620">
        <f>MROUND(C45*((C45-INDEX(Aannames!$E$99:$E$105,MATCH(C45,Aannames!$E$99:$E$105,1)))/(INDEX(Aannames!$E$99:$E$105,MATCH(C45,Aannames!$E$99:$E$105,1)+1)-INDEX(Aannames!$E$99:$E$105,MATCH(C45,Aannames!$E$99:$E$105,1)))*INDEX(Aannames!$M$99:$M$105,MATCH(C45,Aannames!$E$99:$E$105,1)+1)
+(INDEX(Aannames!$E$99:$E$105,MATCH(C45,Aannames!$E$99:$E$105,1)+1)-C45)/(INDEX(Aannames!$E$99:$E$105,MATCH(C45,Aannames!$E$99:$E$105,1)+1)-INDEX(Aannames!$E$99:$E$105,MATCH(C45,Aannames!$E$99:$E$105,1)))*INDEX(Aannames!$M$99:$M$105,MATCH(C45,Aannames!$E$99:$E$105,1))),500)</f>
        <v>429000</v>
      </c>
      <c r="G45" s="594">
        <f t="shared" si="24"/>
        <v>38.6</v>
      </c>
      <c r="H45" s="594">
        <f t="shared" si="25"/>
        <v>5.5</v>
      </c>
      <c r="I45" s="600">
        <f t="shared" si="26"/>
        <v>33.050000000000004</v>
      </c>
      <c r="J45" s="601">
        <f t="shared" si="27"/>
        <v>77.150000000000006</v>
      </c>
      <c r="K45" s="594">
        <f t="shared" si="28"/>
        <v>42.900000000000006</v>
      </c>
      <c r="L45" s="594">
        <f t="shared" si="29"/>
        <v>77.5</v>
      </c>
      <c r="M45" s="594">
        <f t="shared" si="30"/>
        <v>87.2</v>
      </c>
      <c r="N45" s="600">
        <f t="shared" si="31"/>
        <v>99.65</v>
      </c>
      <c r="O45" s="596">
        <f t="shared" si="32"/>
        <v>120.4</v>
      </c>
      <c r="P45" s="596">
        <f t="shared" si="33"/>
        <v>130.10000000000002</v>
      </c>
      <c r="Q45" s="601">
        <f t="shared" si="34"/>
        <v>142.55000000000001</v>
      </c>
      <c r="R45" s="594">
        <f t="shared" si="35"/>
        <v>120.05000000000001</v>
      </c>
      <c r="S45" s="596">
        <f t="shared" si="36"/>
        <v>197.55</v>
      </c>
      <c r="T45" s="596">
        <f t="shared" si="37"/>
        <v>207.25000000000003</v>
      </c>
      <c r="U45" s="599">
        <f t="shared" si="38"/>
        <v>219.70000000000002</v>
      </c>
      <c r="W45" s="34">
        <f t="shared" si="39"/>
        <v>10000</v>
      </c>
      <c r="X45" s="857">
        <f t="shared" si="40"/>
        <v>750</v>
      </c>
      <c r="Y45" s="528">
        <v>100</v>
      </c>
      <c r="AA45" s="531">
        <f t="shared" si="41"/>
        <v>6.2999999999999989</v>
      </c>
      <c r="AB45" s="115">
        <f t="shared" si="42"/>
        <v>7.0875000000000004</v>
      </c>
      <c r="AC45" s="532">
        <f t="shared" si="43"/>
        <v>8.1</v>
      </c>
    </row>
    <row r="46" spans="1:30">
      <c r="A46" s="130">
        <f t="shared" si="44"/>
        <v>46</v>
      </c>
      <c r="B46" s="16"/>
      <c r="C46" s="617">
        <f t="shared" si="45"/>
        <v>50</v>
      </c>
      <c r="D46" s="12">
        <f t="shared" si="23"/>
        <v>67.051104479751416</v>
      </c>
      <c r="E46" s="12" t="s">
        <v>131</v>
      </c>
      <c r="F46" s="620">
        <f>MROUND(C46*((C46-INDEX(Aannames!$E$99:$E$105,MATCH(C46,Aannames!$E$99:$E$105,1)))/(INDEX(Aannames!$E$99:$E$105,MATCH(C46,Aannames!$E$99:$E$105,1)+1)-INDEX(Aannames!$E$99:$E$105,MATCH(C46,Aannames!$E$99:$E$105,1)))*INDEX(Aannames!$M$99:$M$105,MATCH(C46,Aannames!$E$99:$E$105,1)+1)
+(INDEX(Aannames!$E$99:$E$105,MATCH(C46,Aannames!$E$99:$E$105,1)+1)-C46)/(INDEX(Aannames!$E$99:$E$105,MATCH(C46,Aannames!$E$99:$E$105,1)+1)-INDEX(Aannames!$E$99:$E$105,MATCH(C46,Aannames!$E$99:$E$105,1)))*INDEX(Aannames!$M$99:$M$105,MATCH(C46,Aannames!$E$99:$E$105,1))),500)</f>
        <v>489000</v>
      </c>
      <c r="G46" s="594">
        <f t="shared" si="24"/>
        <v>44</v>
      </c>
      <c r="H46" s="594">
        <f t="shared" si="25"/>
        <v>6.3000000000000007</v>
      </c>
      <c r="I46" s="600">
        <f t="shared" si="26"/>
        <v>37.65</v>
      </c>
      <c r="J46" s="601">
        <f t="shared" si="27"/>
        <v>87.949999999999989</v>
      </c>
      <c r="K46" s="594">
        <f t="shared" si="28"/>
        <v>48.900000000000006</v>
      </c>
      <c r="L46" s="594">
        <f t="shared" si="29"/>
        <v>86.100000000000009</v>
      </c>
      <c r="M46" s="594">
        <f t="shared" si="30"/>
        <v>96.850000000000009</v>
      </c>
      <c r="N46" s="600">
        <f t="shared" si="31"/>
        <v>110.7</v>
      </c>
      <c r="O46" s="596">
        <f t="shared" si="32"/>
        <v>135</v>
      </c>
      <c r="P46" s="596">
        <f t="shared" si="33"/>
        <v>145.75</v>
      </c>
      <c r="Q46" s="601">
        <f t="shared" si="34"/>
        <v>159.60000000000002</v>
      </c>
      <c r="R46" s="594">
        <f t="shared" si="35"/>
        <v>136.85</v>
      </c>
      <c r="S46" s="596">
        <f t="shared" si="36"/>
        <v>222.95</v>
      </c>
      <c r="T46" s="596">
        <f t="shared" si="37"/>
        <v>233.7</v>
      </c>
      <c r="U46" s="599">
        <f t="shared" si="38"/>
        <v>247.55</v>
      </c>
      <c r="W46" s="34">
        <f t="shared" si="39"/>
        <v>10000</v>
      </c>
      <c r="X46" s="857">
        <f t="shared" si="40"/>
        <v>750</v>
      </c>
      <c r="Y46" s="528">
        <v>100</v>
      </c>
      <c r="AA46" s="531">
        <f t="shared" si="41"/>
        <v>6.9999999999999991</v>
      </c>
      <c r="AB46" s="115">
        <f t="shared" si="42"/>
        <v>7.875</v>
      </c>
      <c r="AC46" s="532">
        <f t="shared" si="43"/>
        <v>9</v>
      </c>
    </row>
    <row r="47" spans="1:30">
      <c r="A47" s="130">
        <f t="shared" si="44"/>
        <v>47</v>
      </c>
      <c r="B47" s="16"/>
      <c r="C47" s="617">
        <f t="shared" si="45"/>
        <v>55</v>
      </c>
      <c r="D47" s="12">
        <f t="shared" si="23"/>
        <v>73.756214927726546</v>
      </c>
      <c r="E47" s="12" t="s">
        <v>131</v>
      </c>
      <c r="F47" s="620">
        <f>MROUND(C47*((C47-INDEX(Aannames!$E$99:$E$105,MATCH(C47,Aannames!$E$99:$E$105,1)))/(INDEX(Aannames!$E$99:$E$105,MATCH(C47,Aannames!$E$99:$E$105,1)+1)-INDEX(Aannames!$E$99:$E$105,MATCH(C47,Aannames!$E$99:$E$105,1)))*INDEX(Aannames!$M$99:$M$105,MATCH(C47,Aannames!$E$99:$E$105,1)+1)
+(INDEX(Aannames!$E$99:$E$105,MATCH(C47,Aannames!$E$99:$E$105,1)+1)-C47)/(INDEX(Aannames!$E$99:$E$105,MATCH(C47,Aannames!$E$99:$E$105,1)+1)-INDEX(Aannames!$E$99:$E$105,MATCH(C47,Aannames!$E$99:$E$105,1)))*INDEX(Aannames!$M$99:$M$105,MATCH(C47,Aannames!$E$99:$E$105,1))),500)</f>
        <v>551000</v>
      </c>
      <c r="G47" s="594">
        <f t="shared" si="24"/>
        <v>49.6</v>
      </c>
      <c r="H47" s="594">
        <f t="shared" si="25"/>
        <v>7.0500000000000007</v>
      </c>
      <c r="I47" s="600">
        <f t="shared" si="26"/>
        <v>42.45</v>
      </c>
      <c r="J47" s="601">
        <f t="shared" si="27"/>
        <v>99.100000000000009</v>
      </c>
      <c r="K47" s="594">
        <f t="shared" si="28"/>
        <v>55.1</v>
      </c>
      <c r="L47" s="594">
        <f t="shared" si="29"/>
        <v>94.7</v>
      </c>
      <c r="M47" s="594">
        <f t="shared" si="30"/>
        <v>106.55000000000001</v>
      </c>
      <c r="N47" s="600">
        <f t="shared" si="31"/>
        <v>121.75</v>
      </c>
      <c r="O47" s="596">
        <f t="shared" si="32"/>
        <v>149.80000000000001</v>
      </c>
      <c r="P47" s="596">
        <f t="shared" si="33"/>
        <v>161.65</v>
      </c>
      <c r="Q47" s="601">
        <f t="shared" si="34"/>
        <v>176.85</v>
      </c>
      <c r="R47" s="594">
        <f t="shared" si="35"/>
        <v>154.20000000000002</v>
      </c>
      <c r="S47" s="596">
        <f t="shared" si="36"/>
        <v>248.90000000000003</v>
      </c>
      <c r="T47" s="596">
        <f t="shared" si="37"/>
        <v>260.75</v>
      </c>
      <c r="U47" s="599">
        <f t="shared" si="38"/>
        <v>275.95</v>
      </c>
      <c r="W47" s="34">
        <f t="shared" si="39"/>
        <v>10000</v>
      </c>
      <c r="X47" s="857">
        <f t="shared" si="40"/>
        <v>750</v>
      </c>
      <c r="Y47" s="528">
        <v>100</v>
      </c>
      <c r="AA47" s="531">
        <f t="shared" si="41"/>
        <v>7.6999999999999993</v>
      </c>
      <c r="AB47" s="115">
        <f t="shared" si="42"/>
        <v>8.6624999999999996</v>
      </c>
      <c r="AC47" s="532">
        <f t="shared" si="43"/>
        <v>9.9</v>
      </c>
    </row>
    <row r="48" spans="1:30">
      <c r="A48" s="130">
        <f t="shared" si="44"/>
        <v>48</v>
      </c>
      <c r="B48" s="16"/>
      <c r="C48" s="617">
        <f t="shared" si="45"/>
        <v>60</v>
      </c>
      <c r="D48" s="12">
        <f t="shared" si="23"/>
        <v>80.461325375701691</v>
      </c>
      <c r="E48" s="12" t="s">
        <v>131</v>
      </c>
      <c r="F48" s="620">
        <f>MROUND(C48*((C48-INDEX(Aannames!$E$99:$E$105,MATCH(C48,Aannames!$E$99:$E$105,1)))/(INDEX(Aannames!$E$99:$E$105,MATCH(C48,Aannames!$E$99:$E$105,1)+1)-INDEX(Aannames!$E$99:$E$105,MATCH(C48,Aannames!$E$99:$E$105,1)))*INDEX(Aannames!$M$99:$M$105,MATCH(C48,Aannames!$E$99:$E$105,1)+1)
+(INDEX(Aannames!$E$99:$E$105,MATCH(C48,Aannames!$E$99:$E$105,1)+1)-C48)/(INDEX(Aannames!$E$99:$E$105,MATCH(C48,Aannames!$E$99:$E$105,1)+1)-INDEX(Aannames!$E$99:$E$105,MATCH(C48,Aannames!$E$99:$E$105,1)))*INDEX(Aannames!$M$99:$M$105,MATCH(C48,Aannames!$E$99:$E$105,1))),500)</f>
        <v>616000</v>
      </c>
      <c r="G48" s="594">
        <f t="shared" si="24"/>
        <v>55.45</v>
      </c>
      <c r="H48" s="594">
        <f t="shared" si="25"/>
        <v>7.9</v>
      </c>
      <c r="I48" s="600">
        <f t="shared" si="26"/>
        <v>47.45</v>
      </c>
      <c r="J48" s="601">
        <f t="shared" si="27"/>
        <v>110.80000000000001</v>
      </c>
      <c r="K48" s="594">
        <f t="shared" si="28"/>
        <v>61.6</v>
      </c>
      <c r="L48" s="594">
        <f t="shared" si="29"/>
        <v>103.30000000000001</v>
      </c>
      <c r="M48" s="594">
        <f t="shared" si="30"/>
        <v>116.25</v>
      </c>
      <c r="N48" s="600">
        <f t="shared" si="31"/>
        <v>132.85</v>
      </c>
      <c r="O48" s="596">
        <f t="shared" si="32"/>
        <v>164.9</v>
      </c>
      <c r="P48" s="596">
        <f t="shared" si="33"/>
        <v>177.85</v>
      </c>
      <c r="Q48" s="601">
        <f t="shared" si="34"/>
        <v>194.45</v>
      </c>
      <c r="R48" s="594">
        <f t="shared" si="35"/>
        <v>172.4</v>
      </c>
      <c r="S48" s="596">
        <f t="shared" si="36"/>
        <v>275.70000000000005</v>
      </c>
      <c r="T48" s="596">
        <f t="shared" si="37"/>
        <v>288.64999999999998</v>
      </c>
      <c r="U48" s="599">
        <f t="shared" si="38"/>
        <v>305.25</v>
      </c>
      <c r="W48" s="34">
        <f t="shared" si="39"/>
        <v>10000</v>
      </c>
      <c r="X48" s="857">
        <f t="shared" si="40"/>
        <v>750</v>
      </c>
      <c r="Y48" s="528">
        <v>100</v>
      </c>
      <c r="AA48" s="531">
        <f t="shared" si="41"/>
        <v>8.3999999999999986</v>
      </c>
      <c r="AB48" s="115">
        <f t="shared" si="42"/>
        <v>9.4499999999999993</v>
      </c>
      <c r="AC48" s="532">
        <f t="shared" si="43"/>
        <v>10.799999999999999</v>
      </c>
    </row>
    <row r="49" spans="1:29">
      <c r="A49" s="130">
        <f t="shared" si="44"/>
        <v>49</v>
      </c>
      <c r="B49" s="16"/>
      <c r="C49" s="617">
        <f t="shared" si="45"/>
        <v>65</v>
      </c>
      <c r="D49" s="12">
        <f t="shared" si="23"/>
        <v>87.166435823676835</v>
      </c>
      <c r="E49" s="12" t="s">
        <v>131</v>
      </c>
      <c r="F49" s="620">
        <f>MROUND(C49*((C49-INDEX(Aannames!$E$99:$E$105,MATCH(C49,Aannames!$E$99:$E$105,1)))/(INDEX(Aannames!$E$99:$E$105,MATCH(C49,Aannames!$E$99:$E$105,1)+1)-INDEX(Aannames!$E$99:$E$105,MATCH(C49,Aannames!$E$99:$E$105,1)))*INDEX(Aannames!$M$99:$M$105,MATCH(C49,Aannames!$E$99:$E$105,1)+1)
+(INDEX(Aannames!$E$99:$E$105,MATCH(C49,Aannames!$E$99:$E$105,1)+1)-C49)/(INDEX(Aannames!$E$99:$E$105,MATCH(C49,Aannames!$E$99:$E$105,1)+1)-INDEX(Aannames!$E$99:$E$105,MATCH(C49,Aannames!$E$99:$E$105,1)))*INDEX(Aannames!$M$99:$M$105,MATCH(C49,Aannames!$E$99:$E$105,1))),500)</f>
        <v>684500</v>
      </c>
      <c r="G49" s="594">
        <f t="shared" si="24"/>
        <v>61.6</v>
      </c>
      <c r="H49" s="594">
        <f t="shared" si="25"/>
        <v>8.8000000000000007</v>
      </c>
      <c r="I49" s="600">
        <f t="shared" si="26"/>
        <v>52.7</v>
      </c>
      <c r="J49" s="601">
        <f t="shared" si="27"/>
        <v>123.10000000000001</v>
      </c>
      <c r="K49" s="594">
        <f t="shared" si="28"/>
        <v>68.45</v>
      </c>
      <c r="L49" s="594">
        <f t="shared" si="29"/>
        <v>111.95</v>
      </c>
      <c r="M49" s="594">
        <f t="shared" si="30"/>
        <v>125.9</v>
      </c>
      <c r="N49" s="600">
        <f t="shared" si="31"/>
        <v>143.9</v>
      </c>
      <c r="O49" s="596">
        <f t="shared" si="32"/>
        <v>180.4</v>
      </c>
      <c r="P49" s="596">
        <f t="shared" si="33"/>
        <v>194.35000000000002</v>
      </c>
      <c r="Q49" s="601">
        <f t="shared" si="34"/>
        <v>212.35000000000002</v>
      </c>
      <c r="R49" s="594">
        <f t="shared" si="35"/>
        <v>191.55</v>
      </c>
      <c r="S49" s="596">
        <f t="shared" si="36"/>
        <v>303.5</v>
      </c>
      <c r="T49" s="596">
        <f t="shared" si="37"/>
        <v>317.45000000000005</v>
      </c>
      <c r="U49" s="599">
        <f t="shared" si="38"/>
        <v>335.45000000000005</v>
      </c>
      <c r="W49" s="34">
        <f t="shared" si="39"/>
        <v>10000</v>
      </c>
      <c r="X49" s="857">
        <f t="shared" si="40"/>
        <v>750</v>
      </c>
      <c r="Y49" s="528">
        <v>100</v>
      </c>
      <c r="AA49" s="531">
        <f t="shared" si="41"/>
        <v>9.1</v>
      </c>
      <c r="AB49" s="115">
        <f t="shared" si="42"/>
        <v>10.237500000000001</v>
      </c>
      <c r="AC49" s="532">
        <f t="shared" si="43"/>
        <v>11.7</v>
      </c>
    </row>
    <row r="50" spans="1:29">
      <c r="A50" s="171">
        <f t="shared" si="44"/>
        <v>50</v>
      </c>
      <c r="B50" s="16"/>
      <c r="C50" s="617">
        <f t="shared" si="45"/>
        <v>70</v>
      </c>
      <c r="D50" s="12">
        <f t="shared" si="23"/>
        <v>93.87154627165198</v>
      </c>
      <c r="E50" s="12" t="s">
        <v>131</v>
      </c>
      <c r="F50" s="620">
        <f>MROUND(C50*((C50-INDEX(Aannames!$E$99:$E$105,MATCH(C50,Aannames!$E$99:$E$105,1)))/(INDEX(Aannames!$E$99:$E$105,MATCH(C50,Aannames!$E$99:$E$105,1)+1)-INDEX(Aannames!$E$99:$E$105,MATCH(C50,Aannames!$E$99:$E$105,1)))*INDEX(Aannames!$M$99:$M$105,MATCH(C50,Aannames!$E$99:$E$105,1)+1)
+(INDEX(Aannames!$E$99:$E$105,MATCH(C50,Aannames!$E$99:$E$105,1)+1)-C50)/(INDEX(Aannames!$E$99:$E$105,MATCH(C50,Aannames!$E$99:$E$105,1)+1)-INDEX(Aannames!$E$99:$E$105,MATCH(C50,Aannames!$E$99:$E$105,1)))*INDEX(Aannames!$M$99:$M$105,MATCH(C50,Aannames!$E$99:$E$105,1))),500)</f>
        <v>755500</v>
      </c>
      <c r="G50" s="594">
        <f t="shared" si="24"/>
        <v>68</v>
      </c>
      <c r="H50" s="594">
        <f t="shared" si="25"/>
        <v>9.7000000000000011</v>
      </c>
      <c r="I50" s="600">
        <f t="shared" si="26"/>
        <v>58.150000000000006</v>
      </c>
      <c r="J50" s="601">
        <f t="shared" si="27"/>
        <v>135.85000000000002</v>
      </c>
      <c r="K50" s="594">
        <f t="shared" si="28"/>
        <v>75.55</v>
      </c>
      <c r="L50" s="594">
        <f t="shared" si="29"/>
        <v>120.55000000000001</v>
      </c>
      <c r="M50" s="594">
        <f t="shared" si="30"/>
        <v>135.6</v>
      </c>
      <c r="N50" s="600">
        <f t="shared" si="31"/>
        <v>155</v>
      </c>
      <c r="O50" s="596">
        <f t="shared" si="32"/>
        <v>196.10000000000002</v>
      </c>
      <c r="P50" s="596">
        <f t="shared" si="33"/>
        <v>211.14999999999998</v>
      </c>
      <c r="Q50" s="601">
        <f t="shared" si="34"/>
        <v>230.55</v>
      </c>
      <c r="R50" s="594">
        <f t="shared" si="35"/>
        <v>211.40000000000003</v>
      </c>
      <c r="S50" s="596">
        <f t="shared" si="36"/>
        <v>331.95000000000005</v>
      </c>
      <c r="T50" s="596">
        <f t="shared" si="37"/>
        <v>347</v>
      </c>
      <c r="U50" s="599">
        <f t="shared" si="38"/>
        <v>366.40000000000003</v>
      </c>
      <c r="W50" s="34">
        <f t="shared" si="39"/>
        <v>10000</v>
      </c>
      <c r="X50" s="857">
        <f t="shared" si="40"/>
        <v>750</v>
      </c>
      <c r="Y50" s="528">
        <v>100</v>
      </c>
      <c r="AA50" s="531">
        <f t="shared" si="41"/>
        <v>9.7999999999999989</v>
      </c>
      <c r="AB50" s="115">
        <f t="shared" si="42"/>
        <v>11.025</v>
      </c>
      <c r="AC50" s="532">
        <f t="shared" si="43"/>
        <v>12.6</v>
      </c>
    </row>
    <row r="51" spans="1:29">
      <c r="A51" s="171">
        <f t="shared" si="44"/>
        <v>51</v>
      </c>
      <c r="B51" s="16"/>
      <c r="C51" s="617">
        <f t="shared" si="45"/>
        <v>75</v>
      </c>
      <c r="D51" s="12">
        <f t="shared" si="23"/>
        <v>100.57665671962711</v>
      </c>
      <c r="E51" s="12" t="s">
        <v>131</v>
      </c>
      <c r="F51" s="620">
        <f>MROUND(C51*((C51-INDEX(Aannames!$E$99:$E$105,MATCH(C51,Aannames!$E$99:$E$105,1)))/(INDEX(Aannames!$E$99:$E$105,MATCH(C51,Aannames!$E$99:$E$105,1)+1)-INDEX(Aannames!$E$99:$E$105,MATCH(C51,Aannames!$E$99:$E$105,1)))*INDEX(Aannames!$M$99:$M$105,MATCH(C51,Aannames!$E$99:$E$105,1)+1)
+(INDEX(Aannames!$E$99:$E$105,MATCH(C51,Aannames!$E$99:$E$105,1)+1)-C51)/(INDEX(Aannames!$E$99:$E$105,MATCH(C51,Aannames!$E$99:$E$105,1)+1)-INDEX(Aannames!$E$99:$E$105,MATCH(C51,Aannames!$E$99:$E$105,1)))*INDEX(Aannames!$M$99:$M$105,MATCH(C51,Aannames!$E$99:$E$105,1))),500)</f>
        <v>829500</v>
      </c>
      <c r="G51" s="594">
        <f t="shared" si="24"/>
        <v>74.650000000000006</v>
      </c>
      <c r="H51" s="594">
        <f t="shared" si="25"/>
        <v>10.65</v>
      </c>
      <c r="I51" s="600">
        <f t="shared" si="26"/>
        <v>63.85</v>
      </c>
      <c r="J51" s="601">
        <f t="shared" si="27"/>
        <v>149.15</v>
      </c>
      <c r="K51" s="594">
        <f t="shared" si="28"/>
        <v>82.95</v>
      </c>
      <c r="L51" s="594">
        <f t="shared" si="29"/>
        <v>129.15</v>
      </c>
      <c r="M51" s="594">
        <f t="shared" si="30"/>
        <v>145.30000000000001</v>
      </c>
      <c r="N51" s="600">
        <f t="shared" si="31"/>
        <v>166.05</v>
      </c>
      <c r="O51" s="596">
        <f t="shared" si="32"/>
        <v>212.10000000000002</v>
      </c>
      <c r="P51" s="596">
        <f t="shared" si="33"/>
        <v>228.25</v>
      </c>
      <c r="Q51" s="601">
        <f t="shared" si="34"/>
        <v>249</v>
      </c>
      <c r="R51" s="594">
        <f t="shared" si="35"/>
        <v>232.10000000000002</v>
      </c>
      <c r="S51" s="596">
        <f t="shared" si="36"/>
        <v>361.25</v>
      </c>
      <c r="T51" s="596">
        <f t="shared" si="37"/>
        <v>377.4</v>
      </c>
      <c r="U51" s="599">
        <f t="shared" si="38"/>
        <v>398.15</v>
      </c>
      <c r="W51" s="34">
        <f t="shared" si="39"/>
        <v>10000</v>
      </c>
      <c r="X51" s="857">
        <f t="shared" si="40"/>
        <v>750</v>
      </c>
      <c r="Y51" s="528">
        <v>100</v>
      </c>
      <c r="AA51" s="531">
        <f t="shared" si="41"/>
        <v>10.499999999999998</v>
      </c>
      <c r="AB51" s="115">
        <f t="shared" si="42"/>
        <v>11.8125</v>
      </c>
      <c r="AC51" s="532">
        <f t="shared" si="43"/>
        <v>13.5</v>
      </c>
    </row>
    <row r="52" spans="1:29">
      <c r="A52" s="171">
        <f t="shared" si="44"/>
        <v>52</v>
      </c>
      <c r="B52" s="16"/>
      <c r="C52" s="617">
        <f t="shared" si="45"/>
        <v>80</v>
      </c>
      <c r="D52" s="12">
        <f t="shared" si="23"/>
        <v>107.28176716760225</v>
      </c>
      <c r="E52" s="12" t="s">
        <v>131</v>
      </c>
      <c r="F52" s="620">
        <f>MROUND(C52*((C52-INDEX(Aannames!$E$99:$E$105,MATCH(C52,Aannames!$E$99:$E$105,1)))/(INDEX(Aannames!$E$99:$E$105,MATCH(C52,Aannames!$E$99:$E$105,1)+1)-INDEX(Aannames!$E$99:$E$105,MATCH(C52,Aannames!$E$99:$E$105,1)))*INDEX(Aannames!$M$99:$M$105,MATCH(C52,Aannames!$E$99:$E$105,1)+1)
+(INDEX(Aannames!$E$99:$E$105,MATCH(C52,Aannames!$E$99:$E$105,1)+1)-C52)/(INDEX(Aannames!$E$99:$E$105,MATCH(C52,Aannames!$E$99:$E$105,1)+1)-INDEX(Aannames!$E$99:$E$105,MATCH(C52,Aannames!$E$99:$E$105,1)))*INDEX(Aannames!$M$99:$M$105,MATCH(C52,Aannames!$E$99:$E$105,1))),500)</f>
        <v>906000</v>
      </c>
      <c r="G52" s="594">
        <f t="shared" si="24"/>
        <v>81.550000000000011</v>
      </c>
      <c r="H52" s="594">
        <f t="shared" si="25"/>
        <v>11.65</v>
      </c>
      <c r="I52" s="600">
        <f t="shared" si="26"/>
        <v>69.75</v>
      </c>
      <c r="J52" s="601">
        <f t="shared" si="27"/>
        <v>162.95000000000002</v>
      </c>
      <c r="K52" s="594">
        <f t="shared" si="28"/>
        <v>90.600000000000009</v>
      </c>
      <c r="L52" s="594">
        <f t="shared" si="29"/>
        <v>137.75</v>
      </c>
      <c r="M52" s="594">
        <f t="shared" si="30"/>
        <v>155</v>
      </c>
      <c r="N52" s="600">
        <f t="shared" si="31"/>
        <v>177.10000000000002</v>
      </c>
      <c r="O52" s="596">
        <f t="shared" si="32"/>
        <v>228.35000000000002</v>
      </c>
      <c r="P52" s="596">
        <f t="shared" si="33"/>
        <v>245.60000000000002</v>
      </c>
      <c r="Q52" s="601">
        <f t="shared" si="34"/>
        <v>267.70000000000005</v>
      </c>
      <c r="R52" s="594">
        <f t="shared" si="35"/>
        <v>253.55</v>
      </c>
      <c r="S52" s="596">
        <f t="shared" si="36"/>
        <v>391.30000000000007</v>
      </c>
      <c r="T52" s="596">
        <f t="shared" si="37"/>
        <v>408.55000000000007</v>
      </c>
      <c r="U52" s="599">
        <f t="shared" si="38"/>
        <v>430.65000000000009</v>
      </c>
      <c r="W52" s="34">
        <f t="shared" si="39"/>
        <v>10000</v>
      </c>
      <c r="X52" s="857">
        <f t="shared" si="40"/>
        <v>750</v>
      </c>
      <c r="Y52" s="528">
        <v>100</v>
      </c>
      <c r="AA52" s="531">
        <f t="shared" si="41"/>
        <v>11.2</v>
      </c>
      <c r="AB52" s="115">
        <f t="shared" si="42"/>
        <v>12.6</v>
      </c>
      <c r="AC52" s="532">
        <f t="shared" si="43"/>
        <v>14.399999999999999</v>
      </c>
    </row>
    <row r="53" spans="1:29">
      <c r="A53" s="171">
        <f t="shared" si="44"/>
        <v>53</v>
      </c>
      <c r="B53" s="16"/>
      <c r="C53" s="617">
        <f t="shared" si="45"/>
        <v>85</v>
      </c>
      <c r="D53" s="12">
        <f t="shared" si="23"/>
        <v>113.9868776155774</v>
      </c>
      <c r="E53" s="12" t="s">
        <v>131</v>
      </c>
      <c r="F53" s="620">
        <f>MROUND(C53*((C53-INDEX(Aannames!$E$99:$E$105,MATCH(C53,Aannames!$E$99:$E$105,1)))/(INDEX(Aannames!$E$99:$E$105,MATCH(C53,Aannames!$E$99:$E$105,1)+1)-INDEX(Aannames!$E$99:$E$105,MATCH(C53,Aannames!$E$99:$E$105,1)))*INDEX(Aannames!$M$99:$M$105,MATCH(C53,Aannames!$E$99:$E$105,1)+1)
+(INDEX(Aannames!$E$99:$E$105,MATCH(C53,Aannames!$E$99:$E$105,1)+1)-C53)/(INDEX(Aannames!$E$99:$E$105,MATCH(C53,Aannames!$E$99:$E$105,1)+1)-INDEX(Aannames!$E$99:$E$105,MATCH(C53,Aannames!$E$99:$E$105,1)))*INDEX(Aannames!$M$99:$M$105,MATCH(C53,Aannames!$E$99:$E$105,1))),500)</f>
        <v>985000</v>
      </c>
      <c r="G53" s="594">
        <f t="shared" si="24"/>
        <v>88.65</v>
      </c>
      <c r="H53" s="594">
        <f t="shared" si="25"/>
        <v>12.65</v>
      </c>
      <c r="I53" s="600">
        <f t="shared" si="26"/>
        <v>75.850000000000009</v>
      </c>
      <c r="J53" s="601">
        <f t="shared" si="27"/>
        <v>177.15000000000003</v>
      </c>
      <c r="K53" s="594">
        <f t="shared" si="28"/>
        <v>98.5</v>
      </c>
      <c r="L53" s="594">
        <f t="shared" si="29"/>
        <v>146.35</v>
      </c>
      <c r="M53" s="594">
        <f t="shared" si="30"/>
        <v>164.65</v>
      </c>
      <c r="N53" s="600">
        <f t="shared" si="31"/>
        <v>188.20000000000002</v>
      </c>
      <c r="O53" s="596">
        <f t="shared" si="32"/>
        <v>244.85</v>
      </c>
      <c r="P53" s="596">
        <f t="shared" si="33"/>
        <v>263.14999999999998</v>
      </c>
      <c r="Q53" s="601">
        <f t="shared" si="34"/>
        <v>286.70000000000005</v>
      </c>
      <c r="R53" s="594">
        <f t="shared" si="35"/>
        <v>275.65000000000003</v>
      </c>
      <c r="S53" s="596">
        <f t="shared" si="36"/>
        <v>422</v>
      </c>
      <c r="T53" s="596">
        <f t="shared" si="37"/>
        <v>440.3</v>
      </c>
      <c r="U53" s="599">
        <f t="shared" si="38"/>
        <v>463.85000000000008</v>
      </c>
      <c r="W53" s="34">
        <f t="shared" si="39"/>
        <v>10000</v>
      </c>
      <c r="X53" s="857">
        <f t="shared" si="40"/>
        <v>750</v>
      </c>
      <c r="Y53" s="528">
        <v>100</v>
      </c>
      <c r="AA53" s="531">
        <f t="shared" si="41"/>
        <v>11.899999999999999</v>
      </c>
      <c r="AB53" s="115">
        <f t="shared" si="42"/>
        <v>13.387499999999999</v>
      </c>
      <c r="AC53" s="532">
        <f t="shared" si="43"/>
        <v>15.299999999999999</v>
      </c>
    </row>
    <row r="54" spans="1:29">
      <c r="A54" s="171">
        <f t="shared" si="44"/>
        <v>54</v>
      </c>
      <c r="B54" s="16"/>
      <c r="C54" s="617">
        <f t="shared" si="45"/>
        <v>90</v>
      </c>
      <c r="D54" s="12">
        <f t="shared" si="23"/>
        <v>120.69198806355254</v>
      </c>
      <c r="E54" s="12" t="s">
        <v>131</v>
      </c>
      <c r="F54" s="620">
        <f>MROUND(C54*((C54-INDEX(Aannames!$E$99:$E$105,MATCH(C54,Aannames!$E$99:$E$105,1)))/(INDEX(Aannames!$E$99:$E$105,MATCH(C54,Aannames!$E$99:$E$105,1)+1)-INDEX(Aannames!$E$99:$E$105,MATCH(C54,Aannames!$E$99:$E$105,1)))*INDEX(Aannames!$M$99:$M$105,MATCH(C54,Aannames!$E$99:$E$105,1)+1)
+(INDEX(Aannames!$E$99:$E$105,MATCH(C54,Aannames!$E$99:$E$105,1)+1)-C54)/(INDEX(Aannames!$E$99:$E$105,MATCH(C54,Aannames!$E$99:$E$105,1)+1)-INDEX(Aannames!$E$99:$E$105,MATCH(C54,Aannames!$E$99:$E$105,1)))*INDEX(Aannames!$M$99:$M$105,MATCH(C54,Aannames!$E$99:$E$105,1))),500)</f>
        <v>1066500</v>
      </c>
      <c r="G54" s="594">
        <f t="shared" si="24"/>
        <v>96</v>
      </c>
      <c r="H54" s="594">
        <f t="shared" si="25"/>
        <v>13.700000000000001</v>
      </c>
      <c r="I54" s="600">
        <f t="shared" si="26"/>
        <v>82.100000000000009</v>
      </c>
      <c r="J54" s="601">
        <f t="shared" si="27"/>
        <v>191.8</v>
      </c>
      <c r="K54" s="594">
        <f t="shared" si="28"/>
        <v>106.65</v>
      </c>
      <c r="L54" s="594">
        <f t="shared" si="29"/>
        <v>155</v>
      </c>
      <c r="M54" s="594">
        <f t="shared" si="30"/>
        <v>174.35000000000002</v>
      </c>
      <c r="N54" s="600">
        <f t="shared" si="31"/>
        <v>199.25</v>
      </c>
      <c r="O54" s="596">
        <f t="shared" si="32"/>
        <v>261.64999999999998</v>
      </c>
      <c r="P54" s="596">
        <f t="shared" si="33"/>
        <v>281</v>
      </c>
      <c r="Q54" s="601">
        <f t="shared" si="34"/>
        <v>305.89999999999998</v>
      </c>
      <c r="R54" s="594">
        <f t="shared" si="35"/>
        <v>298.45000000000005</v>
      </c>
      <c r="S54" s="596">
        <f t="shared" si="36"/>
        <v>453.45</v>
      </c>
      <c r="T54" s="596">
        <f t="shared" si="37"/>
        <v>472.8</v>
      </c>
      <c r="U54" s="599">
        <f t="shared" si="38"/>
        <v>497.7</v>
      </c>
      <c r="W54" s="34">
        <f t="shared" si="39"/>
        <v>10000</v>
      </c>
      <c r="X54" s="857">
        <f t="shared" si="40"/>
        <v>750</v>
      </c>
      <c r="Y54" s="528">
        <v>100</v>
      </c>
      <c r="AA54" s="531">
        <f t="shared" si="41"/>
        <v>12.599999999999998</v>
      </c>
      <c r="AB54" s="115">
        <f t="shared" si="42"/>
        <v>14.175000000000001</v>
      </c>
      <c r="AC54" s="532">
        <f t="shared" si="43"/>
        <v>16.2</v>
      </c>
    </row>
    <row r="55" spans="1:29">
      <c r="A55" s="171">
        <f t="shared" si="44"/>
        <v>55</v>
      </c>
      <c r="B55" s="16"/>
      <c r="C55" s="617">
        <f t="shared" si="45"/>
        <v>95</v>
      </c>
      <c r="D55" s="12">
        <f t="shared" si="23"/>
        <v>127.39709851152769</v>
      </c>
      <c r="E55" s="12" t="s">
        <v>131</v>
      </c>
      <c r="F55" s="620">
        <f>MROUND(C55*((C55-INDEX(Aannames!$E$99:$E$105,MATCH(C55,Aannames!$E$99:$E$105,1)))/(INDEX(Aannames!$E$99:$E$105,MATCH(C55,Aannames!$E$99:$E$105,1)+1)-INDEX(Aannames!$E$99:$E$105,MATCH(C55,Aannames!$E$99:$E$105,1)))*INDEX(Aannames!$M$99:$M$105,MATCH(C55,Aannames!$E$99:$E$105,1)+1)
+(INDEX(Aannames!$E$99:$E$105,MATCH(C55,Aannames!$E$99:$E$105,1)+1)-C55)/(INDEX(Aannames!$E$99:$E$105,MATCH(C55,Aannames!$E$99:$E$105,1)+1)-INDEX(Aannames!$E$99:$E$105,MATCH(C55,Aannames!$E$99:$E$105,1)))*INDEX(Aannames!$M$99:$M$105,MATCH(C55,Aannames!$E$99:$E$105,1))),500)</f>
        <v>1151000</v>
      </c>
      <c r="G55" s="594">
        <f t="shared" si="24"/>
        <v>103.60000000000001</v>
      </c>
      <c r="H55" s="594">
        <f t="shared" si="25"/>
        <v>14.75</v>
      </c>
      <c r="I55" s="600">
        <f t="shared" si="26"/>
        <v>88.65</v>
      </c>
      <c r="J55" s="601">
        <f t="shared" si="27"/>
        <v>207</v>
      </c>
      <c r="K55" s="594">
        <f t="shared" si="28"/>
        <v>115.10000000000001</v>
      </c>
      <c r="L55" s="594">
        <f t="shared" si="29"/>
        <v>163.60000000000002</v>
      </c>
      <c r="M55" s="594">
        <f t="shared" si="30"/>
        <v>184.05</v>
      </c>
      <c r="N55" s="600">
        <f t="shared" si="31"/>
        <v>210.35000000000002</v>
      </c>
      <c r="O55" s="596">
        <f t="shared" si="32"/>
        <v>278.70000000000005</v>
      </c>
      <c r="P55" s="596">
        <f t="shared" si="33"/>
        <v>299.15000000000003</v>
      </c>
      <c r="Q55" s="601">
        <f t="shared" si="34"/>
        <v>325.45000000000005</v>
      </c>
      <c r="R55" s="594">
        <f t="shared" si="35"/>
        <v>322.10000000000002</v>
      </c>
      <c r="S55" s="596">
        <f t="shared" si="36"/>
        <v>485.70000000000005</v>
      </c>
      <c r="T55" s="596">
        <f t="shared" si="37"/>
        <v>506.15000000000003</v>
      </c>
      <c r="U55" s="599">
        <f t="shared" si="38"/>
        <v>532.45000000000005</v>
      </c>
      <c r="W55" s="34">
        <f t="shared" si="39"/>
        <v>10000</v>
      </c>
      <c r="X55" s="857">
        <f t="shared" si="40"/>
        <v>750</v>
      </c>
      <c r="Y55" s="528">
        <v>100</v>
      </c>
      <c r="AA55" s="531">
        <f t="shared" si="41"/>
        <v>13.299999999999999</v>
      </c>
      <c r="AB55" s="115">
        <f t="shared" si="42"/>
        <v>14.9625</v>
      </c>
      <c r="AC55" s="532">
        <f t="shared" si="43"/>
        <v>17.099999999999998</v>
      </c>
    </row>
    <row r="56" spans="1:29">
      <c r="A56" s="171">
        <f t="shared" si="44"/>
        <v>56</v>
      </c>
      <c r="B56" s="16"/>
      <c r="C56" s="617">
        <f t="shared" si="45"/>
        <v>100</v>
      </c>
      <c r="D56" s="12">
        <f t="shared" si="23"/>
        <v>134.10220895950283</v>
      </c>
      <c r="E56" s="12" t="s">
        <v>131</v>
      </c>
      <c r="F56" s="620">
        <f>MROUND(C56*((C56-INDEX(Aannames!$E$99:$E$105,MATCH(C56,Aannames!$E$99:$E$105,1)))/(INDEX(Aannames!$E$99:$E$105,MATCH(C56,Aannames!$E$99:$E$105,1)+1)-INDEX(Aannames!$E$99:$E$105,MATCH(C56,Aannames!$E$99:$E$105,1)))*INDEX(Aannames!$M$99:$M$105,MATCH(C56,Aannames!$E$99:$E$105,1)+1)
+(INDEX(Aannames!$E$99:$E$105,MATCH(C56,Aannames!$E$99:$E$105,1)+1)-C56)/(INDEX(Aannames!$E$99:$E$105,MATCH(C56,Aannames!$E$99:$E$105,1)+1)-INDEX(Aannames!$E$99:$E$105,MATCH(C56,Aannames!$E$99:$E$105,1)))*INDEX(Aannames!$M$99:$M$105,MATCH(C56,Aannames!$E$99:$E$105,1))),500)</f>
        <v>1238000</v>
      </c>
      <c r="G56" s="594">
        <f t="shared" si="24"/>
        <v>111.4</v>
      </c>
      <c r="H56" s="594">
        <f t="shared" si="25"/>
        <v>15.9</v>
      </c>
      <c r="I56" s="600">
        <f t="shared" si="26"/>
        <v>95.350000000000009</v>
      </c>
      <c r="J56" s="601">
        <f t="shared" si="27"/>
        <v>222.65000000000003</v>
      </c>
      <c r="K56" s="594">
        <f t="shared" si="28"/>
        <v>123.80000000000001</v>
      </c>
      <c r="L56" s="594">
        <f t="shared" si="29"/>
        <v>172.20000000000002</v>
      </c>
      <c r="M56" s="594">
        <f t="shared" si="30"/>
        <v>193.75</v>
      </c>
      <c r="N56" s="600">
        <f t="shared" si="31"/>
        <v>221.4</v>
      </c>
      <c r="O56" s="596">
        <f t="shared" si="32"/>
        <v>296</v>
      </c>
      <c r="P56" s="596">
        <f t="shared" si="33"/>
        <v>317.55</v>
      </c>
      <c r="Q56" s="601">
        <f t="shared" si="34"/>
        <v>345.20000000000005</v>
      </c>
      <c r="R56" s="594">
        <f t="shared" si="35"/>
        <v>346.45000000000005</v>
      </c>
      <c r="S56" s="596">
        <f t="shared" si="36"/>
        <v>518.65000000000009</v>
      </c>
      <c r="T56" s="596">
        <f t="shared" si="37"/>
        <v>540.20000000000005</v>
      </c>
      <c r="U56" s="599">
        <f t="shared" si="38"/>
        <v>567.85000000000014</v>
      </c>
      <c r="W56" s="34">
        <f t="shared" si="39"/>
        <v>10000</v>
      </c>
      <c r="X56" s="857">
        <f t="shared" si="40"/>
        <v>750</v>
      </c>
      <c r="Y56" s="528">
        <v>100</v>
      </c>
      <c r="AA56" s="531">
        <f t="shared" si="41"/>
        <v>13.999999999999998</v>
      </c>
      <c r="AB56" s="115">
        <f t="shared" si="42"/>
        <v>15.75</v>
      </c>
      <c r="AC56" s="532">
        <f t="shared" si="43"/>
        <v>18</v>
      </c>
    </row>
    <row r="57" spans="1:29">
      <c r="A57" s="171">
        <f t="shared" si="44"/>
        <v>57</v>
      </c>
      <c r="B57" s="16"/>
      <c r="C57" s="617">
        <f t="shared" si="45"/>
        <v>105</v>
      </c>
      <c r="D57" s="12">
        <f t="shared" si="23"/>
        <v>140.80731940747796</v>
      </c>
      <c r="E57" s="12" t="s">
        <v>131</v>
      </c>
      <c r="F57" s="620">
        <f>MROUND(C57*((C57-INDEX(Aannames!$E$99:$E$105,MATCH(C57,Aannames!$E$99:$E$105,1)))/(INDEX(Aannames!$E$99:$E$105,MATCH(C57,Aannames!$E$99:$E$105,1)+1)-INDEX(Aannames!$E$99:$E$105,MATCH(C57,Aannames!$E$99:$E$105,1)))*INDEX(Aannames!$M$99:$M$105,MATCH(C57,Aannames!$E$99:$E$105,1)+1)
+(INDEX(Aannames!$E$99:$E$105,MATCH(C57,Aannames!$E$99:$E$105,1)+1)-C57)/(INDEX(Aannames!$E$99:$E$105,MATCH(C57,Aannames!$E$99:$E$105,1)+1)-INDEX(Aannames!$E$99:$E$105,MATCH(C57,Aannames!$E$99:$E$105,1)))*INDEX(Aannames!$M$99:$M$105,MATCH(C57,Aannames!$E$99:$E$105,1))),500)</f>
        <v>1328000</v>
      </c>
      <c r="G57" s="594">
        <f t="shared" si="24"/>
        <v>119.5</v>
      </c>
      <c r="H57" s="594">
        <f t="shared" si="25"/>
        <v>17.05</v>
      </c>
      <c r="I57" s="600">
        <f t="shared" si="26"/>
        <v>102.25</v>
      </c>
      <c r="J57" s="601">
        <f t="shared" si="27"/>
        <v>238.8</v>
      </c>
      <c r="K57" s="594">
        <f t="shared" si="28"/>
        <v>132.80000000000001</v>
      </c>
      <c r="L57" s="594">
        <f t="shared" si="29"/>
        <v>180.8</v>
      </c>
      <c r="M57" s="594">
        <f t="shared" si="30"/>
        <v>203.4</v>
      </c>
      <c r="N57" s="600">
        <f t="shared" si="31"/>
        <v>232.45000000000002</v>
      </c>
      <c r="O57" s="596">
        <f t="shared" si="32"/>
        <v>313.60000000000002</v>
      </c>
      <c r="P57" s="596">
        <f t="shared" si="33"/>
        <v>336.20000000000005</v>
      </c>
      <c r="Q57" s="601">
        <f t="shared" si="34"/>
        <v>365.25</v>
      </c>
      <c r="R57" s="594">
        <f t="shared" si="35"/>
        <v>371.6</v>
      </c>
      <c r="S57" s="596">
        <f t="shared" si="36"/>
        <v>552.40000000000009</v>
      </c>
      <c r="T57" s="596">
        <f t="shared" si="37"/>
        <v>575</v>
      </c>
      <c r="U57" s="599">
        <f t="shared" si="38"/>
        <v>604.04999999999995</v>
      </c>
      <c r="W57" s="34">
        <f t="shared" si="39"/>
        <v>10000</v>
      </c>
      <c r="X57" s="857">
        <f t="shared" si="40"/>
        <v>750</v>
      </c>
      <c r="Y57" s="528">
        <v>100</v>
      </c>
      <c r="AA57" s="531">
        <f t="shared" si="41"/>
        <v>14.7</v>
      </c>
      <c r="AB57" s="115">
        <f t="shared" si="42"/>
        <v>16.537500000000001</v>
      </c>
      <c r="AC57" s="532">
        <f t="shared" si="43"/>
        <v>18.899999999999999</v>
      </c>
    </row>
    <row r="58" spans="1:29">
      <c r="A58" s="171">
        <f t="shared" si="44"/>
        <v>58</v>
      </c>
      <c r="B58" s="16"/>
      <c r="C58" s="617">
        <f t="shared" si="45"/>
        <v>110</v>
      </c>
      <c r="D58" s="12">
        <f t="shared" si="23"/>
        <v>147.51242985545309</v>
      </c>
      <c r="E58" s="12" t="s">
        <v>131</v>
      </c>
      <c r="F58" s="620">
        <f>MROUND(C58*((C58-INDEX(Aannames!$E$99:$E$105,MATCH(C58,Aannames!$E$99:$E$105,1)))/(INDEX(Aannames!$E$99:$E$105,MATCH(C58,Aannames!$E$99:$E$105,1)+1)-INDEX(Aannames!$E$99:$E$105,MATCH(C58,Aannames!$E$99:$E$105,1)))*INDEX(Aannames!$M$99:$M$105,MATCH(C58,Aannames!$E$99:$E$105,1)+1)
+(INDEX(Aannames!$E$99:$E$105,MATCH(C58,Aannames!$E$99:$E$105,1)+1)-C58)/(INDEX(Aannames!$E$99:$E$105,MATCH(C58,Aannames!$E$99:$E$105,1)+1)-INDEX(Aannames!$E$99:$E$105,MATCH(C58,Aannames!$E$99:$E$105,1)))*INDEX(Aannames!$M$99:$M$105,MATCH(C58,Aannames!$E$99:$E$105,1))),500)</f>
        <v>1420000</v>
      </c>
      <c r="G58" s="594">
        <f t="shared" si="24"/>
        <v>127.80000000000001</v>
      </c>
      <c r="H58" s="594">
        <f t="shared" si="25"/>
        <v>18.2</v>
      </c>
      <c r="I58" s="600">
        <f t="shared" si="26"/>
        <v>109.35000000000001</v>
      </c>
      <c r="J58" s="601">
        <f t="shared" si="27"/>
        <v>255.35000000000002</v>
      </c>
      <c r="K58" s="594">
        <f t="shared" si="28"/>
        <v>142</v>
      </c>
      <c r="L58" s="594">
        <f t="shared" si="29"/>
        <v>189.4</v>
      </c>
      <c r="M58" s="594">
        <f t="shared" si="30"/>
        <v>213.10000000000002</v>
      </c>
      <c r="N58" s="600">
        <f t="shared" si="31"/>
        <v>243.55</v>
      </c>
      <c r="O58" s="596">
        <f t="shared" si="32"/>
        <v>331.4</v>
      </c>
      <c r="P58" s="596">
        <f t="shared" si="33"/>
        <v>355.1</v>
      </c>
      <c r="Q58" s="601">
        <f t="shared" si="34"/>
        <v>385.55</v>
      </c>
      <c r="R58" s="594">
        <f t="shared" si="35"/>
        <v>397.35</v>
      </c>
      <c r="S58" s="596">
        <f t="shared" si="36"/>
        <v>586.75</v>
      </c>
      <c r="T58" s="596">
        <f t="shared" si="37"/>
        <v>610.45000000000005</v>
      </c>
      <c r="U58" s="599">
        <f t="shared" si="38"/>
        <v>640.90000000000009</v>
      </c>
      <c r="W58" s="34">
        <f t="shared" si="39"/>
        <v>10000</v>
      </c>
      <c r="X58" s="857">
        <f t="shared" si="40"/>
        <v>750</v>
      </c>
      <c r="Y58" s="528">
        <v>100</v>
      </c>
      <c r="AA58" s="531">
        <f t="shared" si="41"/>
        <v>15.399999999999999</v>
      </c>
      <c r="AB58" s="115">
        <f t="shared" si="42"/>
        <v>17.324999999999999</v>
      </c>
      <c r="AC58" s="532">
        <f t="shared" si="43"/>
        <v>19.8</v>
      </c>
    </row>
    <row r="59" spans="1:29">
      <c r="A59" s="171">
        <f t="shared" si="44"/>
        <v>59</v>
      </c>
      <c r="B59" s="16"/>
      <c r="C59" s="617">
        <f t="shared" si="45"/>
        <v>115</v>
      </c>
      <c r="D59" s="12">
        <f t="shared" si="23"/>
        <v>154.21754030342825</v>
      </c>
      <c r="E59" s="12" t="s">
        <v>131</v>
      </c>
      <c r="F59" s="620">
        <f>MROUND(C59*((C59-INDEX(Aannames!$E$99:$E$105,MATCH(C59,Aannames!$E$99:$E$105,1)))/(INDEX(Aannames!$E$99:$E$105,MATCH(C59,Aannames!$E$99:$E$105,1)+1)-INDEX(Aannames!$E$99:$E$105,MATCH(C59,Aannames!$E$99:$E$105,1)))*INDEX(Aannames!$M$99:$M$105,MATCH(C59,Aannames!$E$99:$E$105,1)+1)
+(INDEX(Aannames!$E$99:$E$105,MATCH(C59,Aannames!$E$99:$E$105,1)+1)-C59)/(INDEX(Aannames!$E$99:$E$105,MATCH(C59,Aannames!$E$99:$E$105,1)+1)-INDEX(Aannames!$E$99:$E$105,MATCH(C59,Aannames!$E$99:$E$105,1)))*INDEX(Aannames!$M$99:$M$105,MATCH(C59,Aannames!$E$99:$E$105,1))),500)</f>
        <v>1515000</v>
      </c>
      <c r="G59" s="594">
        <f t="shared" si="24"/>
        <v>136.35</v>
      </c>
      <c r="H59" s="594">
        <f t="shared" si="25"/>
        <v>19.450000000000003</v>
      </c>
      <c r="I59" s="600">
        <f t="shared" si="26"/>
        <v>116.65</v>
      </c>
      <c r="J59" s="601">
        <f t="shared" si="27"/>
        <v>272.45000000000005</v>
      </c>
      <c r="K59" s="594">
        <f t="shared" si="28"/>
        <v>151.5</v>
      </c>
      <c r="L59" s="594">
        <f t="shared" si="29"/>
        <v>198.05</v>
      </c>
      <c r="M59" s="594">
        <f t="shared" si="30"/>
        <v>222.8</v>
      </c>
      <c r="N59" s="600">
        <f t="shared" si="31"/>
        <v>254.60000000000002</v>
      </c>
      <c r="O59" s="596">
        <f t="shared" si="32"/>
        <v>349.55</v>
      </c>
      <c r="P59" s="596">
        <f t="shared" si="33"/>
        <v>374.3</v>
      </c>
      <c r="Q59" s="601">
        <f t="shared" si="34"/>
        <v>406.1</v>
      </c>
      <c r="R59" s="594">
        <f t="shared" si="35"/>
        <v>423.95000000000005</v>
      </c>
      <c r="S59" s="596">
        <f t="shared" si="36"/>
        <v>622</v>
      </c>
      <c r="T59" s="596">
        <f t="shared" si="37"/>
        <v>646.75</v>
      </c>
      <c r="U59" s="599">
        <f t="shared" si="38"/>
        <v>678.55000000000007</v>
      </c>
      <c r="W59" s="34">
        <f t="shared" si="39"/>
        <v>10000</v>
      </c>
      <c r="X59" s="857">
        <f t="shared" si="40"/>
        <v>750</v>
      </c>
      <c r="Y59" s="528">
        <v>100</v>
      </c>
      <c r="AA59" s="531">
        <f t="shared" si="41"/>
        <v>16.099999999999998</v>
      </c>
      <c r="AB59" s="115">
        <f t="shared" si="42"/>
        <v>18.112500000000001</v>
      </c>
      <c r="AC59" s="532">
        <f t="shared" si="43"/>
        <v>20.7</v>
      </c>
    </row>
    <row r="60" spans="1:29">
      <c r="A60" s="171">
        <f t="shared" si="44"/>
        <v>60</v>
      </c>
      <c r="B60" s="16"/>
      <c r="C60" s="617">
        <f t="shared" si="45"/>
        <v>120</v>
      </c>
      <c r="D60" s="12">
        <f t="shared" si="23"/>
        <v>160.92265075140338</v>
      </c>
      <c r="E60" s="12" t="s">
        <v>131</v>
      </c>
      <c r="F60" s="620">
        <f>MROUND(C60*((C60-INDEX(Aannames!$E$99:$E$105,MATCH(C60,Aannames!$E$99:$E$105,1)))/(INDEX(Aannames!$E$99:$E$105,MATCH(C60,Aannames!$E$99:$E$105,1)+1)-INDEX(Aannames!$E$99:$E$105,MATCH(C60,Aannames!$E$99:$E$105,1)))*INDEX(Aannames!$M$99:$M$105,MATCH(C60,Aannames!$E$99:$E$105,1)+1)
+(INDEX(Aannames!$E$99:$E$105,MATCH(C60,Aannames!$E$99:$E$105,1)+1)-C60)/(INDEX(Aannames!$E$99:$E$105,MATCH(C60,Aannames!$E$99:$E$105,1)+1)-INDEX(Aannames!$E$99:$E$105,MATCH(C60,Aannames!$E$99:$E$105,1)))*INDEX(Aannames!$M$99:$M$105,MATCH(C60,Aannames!$E$99:$E$105,1))),500)</f>
        <v>1613000</v>
      </c>
      <c r="G60" s="594">
        <f t="shared" si="24"/>
        <v>145.15</v>
      </c>
      <c r="H60" s="594">
        <f t="shared" si="25"/>
        <v>20.700000000000003</v>
      </c>
      <c r="I60" s="600">
        <f t="shared" si="26"/>
        <v>124.2</v>
      </c>
      <c r="J60" s="601">
        <f t="shared" si="27"/>
        <v>290.05</v>
      </c>
      <c r="K60" s="594">
        <f t="shared" si="28"/>
        <v>161.30000000000001</v>
      </c>
      <c r="L60" s="594">
        <f t="shared" si="29"/>
        <v>206.65</v>
      </c>
      <c r="M60" s="594">
        <f t="shared" si="30"/>
        <v>232.45000000000002</v>
      </c>
      <c r="N60" s="600">
        <f t="shared" si="31"/>
        <v>265.7</v>
      </c>
      <c r="O60" s="596">
        <f t="shared" si="32"/>
        <v>367.95000000000005</v>
      </c>
      <c r="P60" s="596">
        <f t="shared" si="33"/>
        <v>393.75</v>
      </c>
      <c r="Q60" s="601">
        <f t="shared" si="34"/>
        <v>427</v>
      </c>
      <c r="R60" s="594">
        <f t="shared" si="35"/>
        <v>451.35</v>
      </c>
      <c r="S60" s="596">
        <f t="shared" si="36"/>
        <v>658</v>
      </c>
      <c r="T60" s="596">
        <f t="shared" si="37"/>
        <v>683.8</v>
      </c>
      <c r="U60" s="599">
        <f t="shared" si="38"/>
        <v>717.05</v>
      </c>
      <c r="W60" s="34">
        <f t="shared" si="39"/>
        <v>10000</v>
      </c>
      <c r="X60" s="857">
        <f t="shared" si="40"/>
        <v>750</v>
      </c>
      <c r="Y60" s="528">
        <v>100</v>
      </c>
      <c r="AA60" s="531">
        <f t="shared" si="41"/>
        <v>16.799999999999997</v>
      </c>
      <c r="AB60" s="115">
        <f t="shared" si="42"/>
        <v>18.899999999999999</v>
      </c>
      <c r="AC60" s="532">
        <f t="shared" si="43"/>
        <v>21.599999999999998</v>
      </c>
    </row>
    <row r="61" spans="1:29">
      <c r="A61" s="171">
        <f t="shared" si="44"/>
        <v>61</v>
      </c>
      <c r="B61" s="16"/>
      <c r="C61" s="617">
        <f t="shared" si="45"/>
        <v>125</v>
      </c>
      <c r="D61" s="12">
        <f t="shared" si="23"/>
        <v>167.62776119937854</v>
      </c>
      <c r="E61" s="12" t="s">
        <v>131</v>
      </c>
      <c r="F61" s="620">
        <f>MROUND(C61*((C61-INDEX(Aannames!$E$99:$E$105,MATCH(C61,Aannames!$E$99:$E$105,1)))/(INDEX(Aannames!$E$99:$E$105,MATCH(C61,Aannames!$E$99:$E$105,1)+1)-INDEX(Aannames!$E$99:$E$105,MATCH(C61,Aannames!$E$99:$E$105,1)))*INDEX(Aannames!$M$99:$M$105,MATCH(C61,Aannames!$E$99:$E$105,1)+1)
+(INDEX(Aannames!$E$99:$E$105,MATCH(C61,Aannames!$E$99:$E$105,1)+1)-C61)/(INDEX(Aannames!$E$99:$E$105,MATCH(C61,Aannames!$E$99:$E$105,1)+1)-INDEX(Aannames!$E$99:$E$105,MATCH(C61,Aannames!$E$99:$E$105,1)))*INDEX(Aannames!$M$99:$M$105,MATCH(C61,Aannames!$E$99:$E$105,1))),500)</f>
        <v>1702000</v>
      </c>
      <c r="G61" s="594">
        <f t="shared" si="24"/>
        <v>153.20000000000002</v>
      </c>
      <c r="H61" s="594">
        <f t="shared" si="25"/>
        <v>21.85</v>
      </c>
      <c r="I61" s="600">
        <f t="shared" si="26"/>
        <v>131.05000000000001</v>
      </c>
      <c r="J61" s="601">
        <f t="shared" si="27"/>
        <v>306.10000000000002</v>
      </c>
      <c r="K61" s="594">
        <f t="shared" si="28"/>
        <v>170.20000000000002</v>
      </c>
      <c r="L61" s="594">
        <f t="shared" si="29"/>
        <v>215.25</v>
      </c>
      <c r="M61" s="594">
        <f t="shared" si="30"/>
        <v>242.15</v>
      </c>
      <c r="N61" s="600">
        <f t="shared" si="31"/>
        <v>276.75</v>
      </c>
      <c r="O61" s="596">
        <f t="shared" si="32"/>
        <v>385.45000000000005</v>
      </c>
      <c r="P61" s="596">
        <f t="shared" si="33"/>
        <v>412.35</v>
      </c>
      <c r="Q61" s="601">
        <f t="shared" si="34"/>
        <v>446.95000000000005</v>
      </c>
      <c r="R61" s="594">
        <f t="shared" si="35"/>
        <v>476.30000000000007</v>
      </c>
      <c r="S61" s="596">
        <f t="shared" si="36"/>
        <v>691.55000000000007</v>
      </c>
      <c r="T61" s="596">
        <f t="shared" si="37"/>
        <v>718.45</v>
      </c>
      <c r="U61" s="599">
        <f t="shared" si="38"/>
        <v>753.05000000000007</v>
      </c>
      <c r="W61" s="34">
        <f t="shared" si="39"/>
        <v>10000</v>
      </c>
      <c r="X61" s="857">
        <f t="shared" si="40"/>
        <v>750</v>
      </c>
      <c r="Y61" s="528">
        <v>100</v>
      </c>
      <c r="AA61" s="531">
        <f t="shared" si="41"/>
        <v>17.499999999999996</v>
      </c>
      <c r="AB61" s="115">
        <f t="shared" si="42"/>
        <v>19.6875</v>
      </c>
      <c r="AC61" s="532">
        <f t="shared" si="43"/>
        <v>22.5</v>
      </c>
    </row>
    <row r="62" spans="1:29">
      <c r="A62" s="130">
        <f t="shared" si="44"/>
        <v>62</v>
      </c>
      <c r="B62" s="16"/>
      <c r="C62" s="617">
        <f t="shared" si="45"/>
        <v>130</v>
      </c>
      <c r="D62" s="12">
        <f t="shared" si="23"/>
        <v>174.33287164735367</v>
      </c>
      <c r="E62" s="12" t="s">
        <v>131</v>
      </c>
      <c r="F62" s="620">
        <f>MROUND(C62*((C62-INDEX(Aannames!$E$99:$E$105,MATCH(C62,Aannames!$E$99:$E$105,1)))/(INDEX(Aannames!$E$99:$E$105,MATCH(C62,Aannames!$E$99:$E$105,1)+1)-INDEX(Aannames!$E$99:$E$105,MATCH(C62,Aannames!$E$99:$E$105,1)))*INDEX(Aannames!$M$99:$M$105,MATCH(C62,Aannames!$E$99:$E$105,1)+1)
+(INDEX(Aannames!$E$99:$E$105,MATCH(C62,Aannames!$E$99:$E$105,1)+1)-C62)/(INDEX(Aannames!$E$99:$E$105,MATCH(C62,Aannames!$E$99:$E$105,1)+1)-INDEX(Aannames!$E$99:$E$105,MATCH(C62,Aannames!$E$99:$E$105,1)))*INDEX(Aannames!$M$99:$M$105,MATCH(C62,Aannames!$E$99:$E$105,1))),500)</f>
        <v>1792500</v>
      </c>
      <c r="G62" s="594">
        <f t="shared" si="24"/>
        <v>161.30000000000001</v>
      </c>
      <c r="H62" s="594">
        <f t="shared" si="25"/>
        <v>23</v>
      </c>
      <c r="I62" s="600">
        <f t="shared" si="26"/>
        <v>138</v>
      </c>
      <c r="J62" s="601">
        <f t="shared" si="27"/>
        <v>322.3</v>
      </c>
      <c r="K62" s="594">
        <f t="shared" si="28"/>
        <v>179.25</v>
      </c>
      <c r="L62" s="594">
        <f t="shared" si="29"/>
        <v>223.85000000000002</v>
      </c>
      <c r="M62" s="594">
        <f t="shared" si="30"/>
        <v>251.85000000000002</v>
      </c>
      <c r="N62" s="600">
        <f t="shared" si="31"/>
        <v>287.8</v>
      </c>
      <c r="O62" s="596">
        <f t="shared" si="32"/>
        <v>403.1</v>
      </c>
      <c r="P62" s="596">
        <f t="shared" si="33"/>
        <v>431.1</v>
      </c>
      <c r="Q62" s="601">
        <f t="shared" si="34"/>
        <v>467.05</v>
      </c>
      <c r="R62" s="594">
        <f t="shared" si="35"/>
        <v>501.55</v>
      </c>
      <c r="S62" s="596">
        <f t="shared" si="36"/>
        <v>725.40000000000009</v>
      </c>
      <c r="T62" s="596">
        <f t="shared" si="37"/>
        <v>753.40000000000009</v>
      </c>
      <c r="U62" s="599">
        <f t="shared" si="38"/>
        <v>789.35</v>
      </c>
      <c r="W62" s="34">
        <f t="shared" si="39"/>
        <v>10000</v>
      </c>
      <c r="X62" s="857">
        <f t="shared" si="40"/>
        <v>750</v>
      </c>
      <c r="Y62" s="528">
        <v>100</v>
      </c>
      <c r="AA62" s="531">
        <f t="shared" si="41"/>
        <v>18.2</v>
      </c>
      <c r="AB62" s="115">
        <f t="shared" si="42"/>
        <v>20.475000000000001</v>
      </c>
      <c r="AC62" s="532">
        <f t="shared" si="43"/>
        <v>23.4</v>
      </c>
    </row>
    <row r="63" spans="1:29">
      <c r="A63" s="130">
        <f t="shared" si="44"/>
        <v>63</v>
      </c>
      <c r="B63" s="16"/>
      <c r="C63" s="617">
        <f t="shared" si="45"/>
        <v>135</v>
      </c>
      <c r="D63" s="12">
        <f t="shared" si="23"/>
        <v>181.0379820953288</v>
      </c>
      <c r="E63" s="12" t="s">
        <v>131</v>
      </c>
      <c r="F63" s="620">
        <f>MROUND(C63*((C63-INDEX(Aannames!$E$99:$E$105,MATCH(C63,Aannames!$E$99:$E$105,1)))/(INDEX(Aannames!$E$99:$E$105,MATCH(C63,Aannames!$E$99:$E$105,1)+1)-INDEX(Aannames!$E$99:$E$105,MATCH(C63,Aannames!$E$99:$E$105,1)))*INDEX(Aannames!$M$99:$M$105,MATCH(C63,Aannames!$E$99:$E$105,1)+1)
+(INDEX(Aannames!$E$99:$E$105,MATCH(C63,Aannames!$E$99:$E$105,1)+1)-C63)/(INDEX(Aannames!$E$99:$E$105,MATCH(C63,Aannames!$E$99:$E$105,1)+1)-INDEX(Aannames!$E$99:$E$105,MATCH(C63,Aannames!$E$99:$E$105,1)))*INDEX(Aannames!$M$99:$M$105,MATCH(C63,Aannames!$E$99:$E$105,1))),500)</f>
        <v>1885500</v>
      </c>
      <c r="G63" s="594">
        <f t="shared" si="24"/>
        <v>169.70000000000002</v>
      </c>
      <c r="H63" s="594">
        <f t="shared" si="25"/>
        <v>24.200000000000003</v>
      </c>
      <c r="I63" s="600">
        <f t="shared" si="26"/>
        <v>145.20000000000002</v>
      </c>
      <c r="J63" s="601">
        <f t="shared" si="27"/>
        <v>339.1</v>
      </c>
      <c r="K63" s="594">
        <f t="shared" si="28"/>
        <v>188.55</v>
      </c>
      <c r="L63" s="594">
        <f t="shared" si="29"/>
        <v>232.45000000000002</v>
      </c>
      <c r="M63" s="594">
        <f t="shared" si="30"/>
        <v>261.55</v>
      </c>
      <c r="N63" s="600">
        <f t="shared" si="31"/>
        <v>298.90000000000003</v>
      </c>
      <c r="O63" s="596">
        <f t="shared" si="32"/>
        <v>421</v>
      </c>
      <c r="P63" s="596">
        <f t="shared" si="33"/>
        <v>450.1</v>
      </c>
      <c r="Q63" s="601">
        <f t="shared" si="34"/>
        <v>487.45000000000005</v>
      </c>
      <c r="R63" s="594">
        <f t="shared" si="35"/>
        <v>527.65000000000009</v>
      </c>
      <c r="S63" s="596">
        <f t="shared" si="36"/>
        <v>760.1</v>
      </c>
      <c r="T63" s="596">
        <f t="shared" si="37"/>
        <v>789.2</v>
      </c>
      <c r="U63" s="599">
        <f t="shared" si="38"/>
        <v>826.55000000000007</v>
      </c>
      <c r="W63" s="34">
        <f t="shared" si="39"/>
        <v>10000</v>
      </c>
      <c r="X63" s="857">
        <f t="shared" si="40"/>
        <v>750</v>
      </c>
      <c r="Y63" s="528">
        <v>100</v>
      </c>
      <c r="AA63" s="531">
        <f t="shared" si="41"/>
        <v>18.899999999999999</v>
      </c>
      <c r="AB63" s="115">
        <f t="shared" si="42"/>
        <v>21.262499999999999</v>
      </c>
      <c r="AC63" s="532">
        <f t="shared" si="43"/>
        <v>24.3</v>
      </c>
    </row>
    <row r="64" spans="1:29">
      <c r="A64" s="130">
        <f t="shared" si="44"/>
        <v>64</v>
      </c>
      <c r="B64" s="16"/>
      <c r="C64" s="617">
        <f t="shared" si="45"/>
        <v>140</v>
      </c>
      <c r="D64" s="12">
        <f t="shared" si="23"/>
        <v>187.74309254330396</v>
      </c>
      <c r="E64" s="12" t="s">
        <v>131</v>
      </c>
      <c r="F64" s="620">
        <f>MROUND(C64*((C64-INDEX(Aannames!$E$99:$E$105,MATCH(C64,Aannames!$E$99:$E$105,1)))/(INDEX(Aannames!$E$99:$E$105,MATCH(C64,Aannames!$E$99:$E$105,1)+1)-INDEX(Aannames!$E$99:$E$105,MATCH(C64,Aannames!$E$99:$E$105,1)))*INDEX(Aannames!$M$99:$M$105,MATCH(C64,Aannames!$E$99:$E$105,1)+1)
+(INDEX(Aannames!$E$99:$E$105,MATCH(C64,Aannames!$E$99:$E$105,1)+1)-C64)/(INDEX(Aannames!$E$99:$E$105,MATCH(C64,Aannames!$E$99:$E$105,1)+1)-INDEX(Aannames!$E$99:$E$105,MATCH(C64,Aannames!$E$99:$E$105,1)))*INDEX(Aannames!$M$99:$M$105,MATCH(C64,Aannames!$E$99:$E$105,1))),500)</f>
        <v>1979500</v>
      </c>
      <c r="G64" s="594">
        <f t="shared" si="24"/>
        <v>178.15</v>
      </c>
      <c r="H64" s="594">
        <f t="shared" si="25"/>
        <v>25.400000000000002</v>
      </c>
      <c r="I64" s="600">
        <f t="shared" si="26"/>
        <v>152.4</v>
      </c>
      <c r="J64" s="601">
        <f t="shared" si="27"/>
        <v>355.95000000000005</v>
      </c>
      <c r="K64" s="594">
        <f t="shared" si="28"/>
        <v>197.95000000000002</v>
      </c>
      <c r="L64" s="594">
        <f t="shared" si="29"/>
        <v>241.10000000000002</v>
      </c>
      <c r="M64" s="594">
        <f t="shared" si="30"/>
        <v>271.2</v>
      </c>
      <c r="N64" s="600">
        <f t="shared" si="31"/>
        <v>309.95000000000005</v>
      </c>
      <c r="O64" s="596">
        <f t="shared" si="32"/>
        <v>439.05000000000007</v>
      </c>
      <c r="P64" s="596">
        <f t="shared" si="33"/>
        <v>469.15</v>
      </c>
      <c r="Q64" s="601">
        <f t="shared" si="34"/>
        <v>507.90000000000009</v>
      </c>
      <c r="R64" s="594">
        <f t="shared" si="35"/>
        <v>553.90000000000009</v>
      </c>
      <c r="S64" s="596">
        <f t="shared" si="36"/>
        <v>795.00000000000011</v>
      </c>
      <c r="T64" s="596">
        <f t="shared" si="37"/>
        <v>825.1</v>
      </c>
      <c r="U64" s="599">
        <f t="shared" si="38"/>
        <v>863.85000000000014</v>
      </c>
      <c r="W64" s="34">
        <f t="shared" si="39"/>
        <v>10000</v>
      </c>
      <c r="X64" s="857">
        <f t="shared" si="40"/>
        <v>750</v>
      </c>
      <c r="Y64" s="528">
        <v>100</v>
      </c>
      <c r="AA64" s="531">
        <f t="shared" si="41"/>
        <v>19.599999999999998</v>
      </c>
      <c r="AB64" s="115">
        <f t="shared" si="42"/>
        <v>22.05</v>
      </c>
      <c r="AC64" s="532">
        <f t="shared" si="43"/>
        <v>25.2</v>
      </c>
    </row>
    <row r="65" spans="1:30">
      <c r="A65" s="130">
        <f t="shared" si="44"/>
        <v>65</v>
      </c>
      <c r="B65" s="16"/>
      <c r="C65" s="617">
        <f t="shared" si="45"/>
        <v>145</v>
      </c>
      <c r="D65" s="12">
        <f t="shared" si="23"/>
        <v>194.44820299127909</v>
      </c>
      <c r="E65" s="12" t="s">
        <v>131</v>
      </c>
      <c r="F65" s="620">
        <f>MROUND(C65*((C65-INDEX(Aannames!$E$99:$E$105,MATCH(C65,Aannames!$E$99:$E$105,1)))/(INDEX(Aannames!$E$99:$E$105,MATCH(C65,Aannames!$E$99:$E$105,1)+1)-INDEX(Aannames!$E$99:$E$105,MATCH(C65,Aannames!$E$99:$E$105,1)))*INDEX(Aannames!$M$99:$M$105,MATCH(C65,Aannames!$E$99:$E$105,1)+1)
+(INDEX(Aannames!$E$99:$E$105,MATCH(C65,Aannames!$E$99:$E$105,1)+1)-C65)/(INDEX(Aannames!$E$99:$E$105,MATCH(C65,Aannames!$E$99:$E$105,1)+1)-INDEX(Aannames!$E$99:$E$105,MATCH(C65,Aannames!$E$99:$E$105,1)))*INDEX(Aannames!$M$99:$M$105,MATCH(C65,Aannames!$E$99:$E$105,1))),500)</f>
        <v>2075500</v>
      </c>
      <c r="G65" s="594">
        <f t="shared" si="24"/>
        <v>186.8</v>
      </c>
      <c r="H65" s="594">
        <f t="shared" si="25"/>
        <v>26.650000000000002</v>
      </c>
      <c r="I65" s="600">
        <f t="shared" si="26"/>
        <v>159.80000000000001</v>
      </c>
      <c r="J65" s="601">
        <f t="shared" si="27"/>
        <v>373.25</v>
      </c>
      <c r="K65" s="594">
        <f t="shared" si="28"/>
        <v>207.55</v>
      </c>
      <c r="L65" s="594">
        <f t="shared" si="29"/>
        <v>249.70000000000002</v>
      </c>
      <c r="M65" s="594">
        <f t="shared" si="30"/>
        <v>280.90000000000003</v>
      </c>
      <c r="N65" s="600">
        <f t="shared" si="31"/>
        <v>321.05</v>
      </c>
      <c r="O65" s="596">
        <f t="shared" si="32"/>
        <v>457.25</v>
      </c>
      <c r="P65" s="596">
        <f t="shared" si="33"/>
        <v>488.45000000000005</v>
      </c>
      <c r="Q65" s="601">
        <f t="shared" si="34"/>
        <v>528.6</v>
      </c>
      <c r="R65" s="594">
        <f t="shared" si="35"/>
        <v>580.79999999999995</v>
      </c>
      <c r="S65" s="596">
        <f t="shared" si="36"/>
        <v>830.5</v>
      </c>
      <c r="T65" s="596">
        <f t="shared" si="37"/>
        <v>861.7</v>
      </c>
      <c r="U65" s="599">
        <f t="shared" si="38"/>
        <v>901.85</v>
      </c>
      <c r="W65" s="34">
        <f t="shared" si="39"/>
        <v>10000</v>
      </c>
      <c r="X65" s="857">
        <f t="shared" si="40"/>
        <v>750</v>
      </c>
      <c r="Y65" s="528">
        <v>100</v>
      </c>
      <c r="AA65" s="531">
        <f t="shared" si="41"/>
        <v>20.299999999999997</v>
      </c>
      <c r="AB65" s="115">
        <f t="shared" si="42"/>
        <v>22.837499999999999</v>
      </c>
      <c r="AC65" s="532">
        <f t="shared" si="43"/>
        <v>26.099999999999998</v>
      </c>
    </row>
    <row r="66" spans="1:30">
      <c r="A66" s="130">
        <f t="shared" si="44"/>
        <v>66</v>
      </c>
      <c r="B66" s="16"/>
      <c r="C66" s="617">
        <f t="shared" si="45"/>
        <v>150</v>
      </c>
      <c r="D66" s="12">
        <f t="shared" si="23"/>
        <v>201.15331343925422</v>
      </c>
      <c r="E66" s="12" t="s">
        <v>131</v>
      </c>
      <c r="F66" s="620">
        <f>MROUND(C66*((C66-INDEX(Aannames!$E$99:$E$105,MATCH(C66,Aannames!$E$99:$E$105,1)))/(INDEX(Aannames!$E$99:$E$105,MATCH(C66,Aannames!$E$99:$E$105,1)+1)-INDEX(Aannames!$E$99:$E$105,MATCH(C66,Aannames!$E$99:$E$105,1)))*INDEX(Aannames!$M$99:$M$105,MATCH(C66,Aannames!$E$99:$E$105,1)+1)
+(INDEX(Aannames!$E$99:$E$105,MATCH(C66,Aannames!$E$99:$E$105,1)+1)-C66)/(INDEX(Aannames!$E$99:$E$105,MATCH(C66,Aannames!$E$99:$E$105,1)+1)-INDEX(Aannames!$E$99:$E$105,MATCH(C66,Aannames!$E$99:$E$105,1)))*INDEX(Aannames!$M$99:$M$105,MATCH(C66,Aannames!$E$99:$E$105,1))),500)</f>
        <v>2173500</v>
      </c>
      <c r="G66" s="594">
        <f t="shared" si="24"/>
        <v>195.60000000000002</v>
      </c>
      <c r="H66" s="594">
        <f t="shared" si="25"/>
        <v>27.900000000000002</v>
      </c>
      <c r="I66" s="600">
        <f t="shared" si="26"/>
        <v>167.35000000000002</v>
      </c>
      <c r="J66" s="601">
        <f t="shared" si="27"/>
        <v>390.85</v>
      </c>
      <c r="K66" s="594">
        <f t="shared" si="28"/>
        <v>217.35000000000002</v>
      </c>
      <c r="L66" s="594">
        <f t="shared" si="29"/>
        <v>258.3</v>
      </c>
      <c r="M66" s="594">
        <f t="shared" si="30"/>
        <v>290.60000000000002</v>
      </c>
      <c r="N66" s="600">
        <f t="shared" si="31"/>
        <v>332.1</v>
      </c>
      <c r="O66" s="596">
        <f t="shared" si="32"/>
        <v>475.65000000000003</v>
      </c>
      <c r="P66" s="596">
        <f t="shared" si="33"/>
        <v>507.95000000000005</v>
      </c>
      <c r="Q66" s="601">
        <f t="shared" si="34"/>
        <v>549.45000000000005</v>
      </c>
      <c r="R66" s="594">
        <f t="shared" si="35"/>
        <v>608.20000000000005</v>
      </c>
      <c r="S66" s="596">
        <f t="shared" si="36"/>
        <v>866.5</v>
      </c>
      <c r="T66" s="596">
        <f t="shared" si="37"/>
        <v>898.80000000000007</v>
      </c>
      <c r="U66" s="599">
        <f t="shared" si="38"/>
        <v>940.30000000000007</v>
      </c>
      <c r="W66" s="34">
        <f t="shared" si="39"/>
        <v>10000</v>
      </c>
      <c r="X66" s="857">
        <f t="shared" si="40"/>
        <v>750</v>
      </c>
      <c r="Y66" s="528">
        <v>100</v>
      </c>
      <c r="AA66" s="531">
        <f t="shared" si="41"/>
        <v>20.999999999999996</v>
      </c>
      <c r="AB66" s="115">
        <f t="shared" si="42"/>
        <v>23.625</v>
      </c>
      <c r="AC66" s="532">
        <f t="shared" si="43"/>
        <v>27</v>
      </c>
    </row>
    <row r="67" spans="1:30">
      <c r="A67" s="130">
        <f t="shared" si="44"/>
        <v>67</v>
      </c>
      <c r="B67" s="16"/>
      <c r="C67" s="617">
        <f t="shared" si="45"/>
        <v>155</v>
      </c>
      <c r="D67" s="12">
        <f t="shared" si="23"/>
        <v>207.85842388722938</v>
      </c>
      <c r="E67" s="12" t="s">
        <v>131</v>
      </c>
      <c r="F67" s="620">
        <f>MROUND(C67*((C67-INDEX(Aannames!$E$99:$E$105,MATCH(C67,Aannames!$E$99:$E$105,1)))/(INDEX(Aannames!$E$99:$E$105,MATCH(C67,Aannames!$E$99:$E$105,1)+1)-INDEX(Aannames!$E$99:$E$105,MATCH(C67,Aannames!$E$99:$E$105,1)))*INDEX(Aannames!$M$99:$M$105,MATCH(C67,Aannames!$E$99:$E$105,1)+1)
+(INDEX(Aannames!$E$99:$E$105,MATCH(C67,Aannames!$E$99:$E$105,1)+1)-C67)/(INDEX(Aannames!$E$99:$E$105,MATCH(C67,Aannames!$E$99:$E$105,1)+1)-INDEX(Aannames!$E$99:$E$105,MATCH(C67,Aannames!$E$99:$E$105,1)))*INDEX(Aannames!$M$99:$M$105,MATCH(C67,Aannames!$E$99:$E$105,1))),500)</f>
        <v>2273000</v>
      </c>
      <c r="G67" s="594">
        <f t="shared" si="24"/>
        <v>204.55</v>
      </c>
      <c r="H67" s="594">
        <f t="shared" si="25"/>
        <v>29.150000000000002</v>
      </c>
      <c r="I67" s="600">
        <f t="shared" si="26"/>
        <v>175</v>
      </c>
      <c r="J67" s="601">
        <f t="shared" si="27"/>
        <v>408.70000000000005</v>
      </c>
      <c r="K67" s="594">
        <f t="shared" si="28"/>
        <v>227.3</v>
      </c>
      <c r="L67" s="594">
        <f t="shared" si="29"/>
        <v>266.90000000000003</v>
      </c>
      <c r="M67" s="594">
        <f t="shared" si="30"/>
        <v>300.25</v>
      </c>
      <c r="N67" s="600">
        <f t="shared" si="31"/>
        <v>343.15000000000003</v>
      </c>
      <c r="O67" s="596">
        <f t="shared" si="32"/>
        <v>494.20000000000005</v>
      </c>
      <c r="P67" s="596">
        <f t="shared" si="33"/>
        <v>527.54999999999995</v>
      </c>
      <c r="Q67" s="601">
        <f t="shared" si="34"/>
        <v>570.45000000000005</v>
      </c>
      <c r="R67" s="594">
        <f t="shared" si="35"/>
        <v>636</v>
      </c>
      <c r="S67" s="596">
        <f t="shared" si="36"/>
        <v>902.90000000000009</v>
      </c>
      <c r="T67" s="596">
        <f t="shared" si="37"/>
        <v>936.25</v>
      </c>
      <c r="U67" s="599">
        <f t="shared" si="38"/>
        <v>979.15000000000009</v>
      </c>
      <c r="W67" s="34">
        <f t="shared" si="39"/>
        <v>10000</v>
      </c>
      <c r="X67" s="857">
        <f t="shared" si="40"/>
        <v>750</v>
      </c>
      <c r="Y67" s="528">
        <v>100</v>
      </c>
      <c r="AA67" s="531">
        <f t="shared" si="41"/>
        <v>21.7</v>
      </c>
      <c r="AB67" s="115">
        <f t="shared" si="42"/>
        <v>24.412500000000001</v>
      </c>
      <c r="AC67" s="532">
        <f t="shared" si="43"/>
        <v>27.9</v>
      </c>
    </row>
    <row r="68" spans="1:30">
      <c r="A68" s="130">
        <f t="shared" si="44"/>
        <v>68</v>
      </c>
      <c r="B68" s="16"/>
      <c r="C68" s="617">
        <f t="shared" si="45"/>
        <v>160</v>
      </c>
      <c r="D68" s="12">
        <f t="shared" si="23"/>
        <v>214.56353433520451</v>
      </c>
      <c r="E68" s="12" t="s">
        <v>131</v>
      </c>
      <c r="F68" s="620">
        <f>MROUND(C68*((C68-INDEX(Aannames!$E$99:$E$105,MATCH(C68,Aannames!$E$99:$E$105,1)))/(INDEX(Aannames!$E$99:$E$105,MATCH(C68,Aannames!$E$99:$E$105,1)+1)-INDEX(Aannames!$E$99:$E$105,MATCH(C68,Aannames!$E$99:$E$105,1)))*INDEX(Aannames!$M$99:$M$105,MATCH(C68,Aannames!$E$99:$E$105,1)+1)
+(INDEX(Aannames!$E$99:$E$105,MATCH(C68,Aannames!$E$99:$E$105,1)+1)-C68)/(INDEX(Aannames!$E$99:$E$105,MATCH(C68,Aannames!$E$99:$E$105,1)+1)-INDEX(Aannames!$E$99:$E$105,MATCH(C68,Aannames!$E$99:$E$105,1)))*INDEX(Aannames!$M$99:$M$105,MATCH(C68,Aannames!$E$99:$E$105,1))),500)</f>
        <v>2374500</v>
      </c>
      <c r="G68" s="594">
        <f t="shared" si="24"/>
        <v>213.70000000000002</v>
      </c>
      <c r="H68" s="594">
        <f t="shared" si="25"/>
        <v>30.450000000000003</v>
      </c>
      <c r="I68" s="600">
        <f t="shared" si="26"/>
        <v>182.85000000000002</v>
      </c>
      <c r="J68" s="601">
        <f t="shared" si="27"/>
        <v>427.00000000000006</v>
      </c>
      <c r="K68" s="594">
        <f t="shared" si="28"/>
        <v>237.45000000000002</v>
      </c>
      <c r="L68" s="594">
        <f t="shared" si="29"/>
        <v>275.5</v>
      </c>
      <c r="M68" s="594">
        <f t="shared" si="30"/>
        <v>309.95000000000005</v>
      </c>
      <c r="N68" s="600">
        <f t="shared" si="31"/>
        <v>354.25</v>
      </c>
      <c r="O68" s="596">
        <f t="shared" si="32"/>
        <v>512.95000000000005</v>
      </c>
      <c r="P68" s="596">
        <f t="shared" si="33"/>
        <v>547.40000000000009</v>
      </c>
      <c r="Q68" s="601">
        <f t="shared" si="34"/>
        <v>591.70000000000005</v>
      </c>
      <c r="R68" s="594">
        <f t="shared" si="35"/>
        <v>664.45</v>
      </c>
      <c r="S68" s="596">
        <f t="shared" si="36"/>
        <v>939.95</v>
      </c>
      <c r="T68" s="596">
        <f t="shared" si="37"/>
        <v>974.40000000000009</v>
      </c>
      <c r="U68" s="599">
        <f t="shared" si="38"/>
        <v>1018.7</v>
      </c>
      <c r="W68" s="34">
        <f t="shared" si="39"/>
        <v>10000</v>
      </c>
      <c r="X68" s="857">
        <f t="shared" si="40"/>
        <v>750</v>
      </c>
      <c r="Y68" s="528">
        <v>100</v>
      </c>
      <c r="AA68" s="531">
        <f t="shared" si="41"/>
        <v>22.4</v>
      </c>
      <c r="AB68" s="115">
        <f t="shared" si="42"/>
        <v>25.2</v>
      </c>
      <c r="AC68" s="532">
        <f t="shared" si="43"/>
        <v>28.799999999999997</v>
      </c>
    </row>
    <row r="69" spans="1:30">
      <c r="A69" s="130">
        <f t="shared" si="44"/>
        <v>69</v>
      </c>
      <c r="B69" s="16"/>
      <c r="C69" s="617">
        <f t="shared" si="45"/>
        <v>165</v>
      </c>
      <c r="D69" s="12">
        <f t="shared" si="23"/>
        <v>221.26864478317967</v>
      </c>
      <c r="E69" s="12" t="s">
        <v>131</v>
      </c>
      <c r="F69" s="620">
        <f>MROUND(C69*((C69-INDEX(Aannames!$E$99:$E$105,MATCH(C69,Aannames!$E$99:$E$105,1)))/(INDEX(Aannames!$E$99:$E$105,MATCH(C69,Aannames!$E$99:$E$105,1)+1)-INDEX(Aannames!$E$99:$E$105,MATCH(C69,Aannames!$E$99:$E$105,1)))*INDEX(Aannames!$M$99:$M$105,MATCH(C69,Aannames!$E$99:$E$105,1)+1)
+(INDEX(Aannames!$E$99:$E$105,MATCH(C69,Aannames!$E$99:$E$105,1)+1)-C69)/(INDEX(Aannames!$E$99:$E$105,MATCH(C69,Aannames!$E$99:$E$105,1)+1)-INDEX(Aannames!$E$99:$E$105,MATCH(C69,Aannames!$E$99:$E$105,1)))*INDEX(Aannames!$M$99:$M$105,MATCH(C69,Aannames!$E$99:$E$105,1))),500)</f>
        <v>2477500</v>
      </c>
      <c r="G69" s="594">
        <f t="shared" si="24"/>
        <v>223</v>
      </c>
      <c r="H69" s="594">
        <f t="shared" si="25"/>
        <v>31.8</v>
      </c>
      <c r="I69" s="600">
        <f t="shared" si="26"/>
        <v>190.75</v>
      </c>
      <c r="J69" s="601">
        <f t="shared" si="27"/>
        <v>445.55</v>
      </c>
      <c r="K69" s="594">
        <f t="shared" si="28"/>
        <v>247.75</v>
      </c>
      <c r="L69" s="594">
        <f t="shared" si="29"/>
        <v>284.15000000000003</v>
      </c>
      <c r="M69" s="594">
        <f t="shared" si="30"/>
        <v>319.65000000000003</v>
      </c>
      <c r="N69" s="600">
        <f t="shared" si="31"/>
        <v>365.3</v>
      </c>
      <c r="O69" s="596">
        <f t="shared" si="32"/>
        <v>531.90000000000009</v>
      </c>
      <c r="P69" s="596">
        <f t="shared" si="33"/>
        <v>567.40000000000009</v>
      </c>
      <c r="Q69" s="601">
        <f t="shared" si="34"/>
        <v>613.04999999999995</v>
      </c>
      <c r="R69" s="594">
        <f t="shared" si="35"/>
        <v>693.3</v>
      </c>
      <c r="S69" s="596">
        <f t="shared" si="36"/>
        <v>977.45</v>
      </c>
      <c r="T69" s="596">
        <f t="shared" si="37"/>
        <v>1012.95</v>
      </c>
      <c r="U69" s="599">
        <f t="shared" si="38"/>
        <v>1058.5999999999999</v>
      </c>
      <c r="W69" s="34">
        <f t="shared" si="39"/>
        <v>10000</v>
      </c>
      <c r="X69" s="857">
        <f t="shared" si="40"/>
        <v>750</v>
      </c>
      <c r="Y69" s="528">
        <v>100</v>
      </c>
      <c r="AA69" s="531">
        <f t="shared" si="41"/>
        <v>23.099999999999998</v>
      </c>
      <c r="AB69" s="115">
        <f t="shared" si="42"/>
        <v>25.987500000000001</v>
      </c>
      <c r="AC69" s="532">
        <f t="shared" si="43"/>
        <v>29.7</v>
      </c>
    </row>
    <row r="70" spans="1:30">
      <c r="A70" s="130">
        <f t="shared" si="44"/>
        <v>70</v>
      </c>
      <c r="B70" s="16"/>
      <c r="C70" s="617">
        <f t="shared" si="45"/>
        <v>170</v>
      </c>
      <c r="D70" s="12">
        <f t="shared" ref="D70:D106" si="46">C70*PKperKW</f>
        <v>227.9737552311548</v>
      </c>
      <c r="E70" s="12" t="s">
        <v>131</v>
      </c>
      <c r="F70" s="620">
        <f>MROUND(C70*((C70-INDEX(Aannames!$E$99:$E$105,MATCH(C70,Aannames!$E$99:$E$105,1)))/(INDEX(Aannames!$E$99:$E$105,MATCH(C70,Aannames!$E$99:$E$105,1)+1)-INDEX(Aannames!$E$99:$E$105,MATCH(C70,Aannames!$E$99:$E$105,1)))*INDEX(Aannames!$M$99:$M$105,MATCH(C70,Aannames!$E$99:$E$105,1)+1)
+(INDEX(Aannames!$E$99:$E$105,MATCH(C70,Aannames!$E$99:$E$105,1)+1)-C70)/(INDEX(Aannames!$E$99:$E$105,MATCH(C70,Aannames!$E$99:$E$105,1)+1)-INDEX(Aannames!$E$99:$E$105,MATCH(C70,Aannames!$E$99:$E$105,1)))*INDEX(Aannames!$M$99:$M$105,MATCH(C70,Aannames!$E$99:$E$105,1))),500)</f>
        <v>2582500</v>
      </c>
      <c r="G70" s="594">
        <f t="shared" si="24"/>
        <v>232.45000000000002</v>
      </c>
      <c r="H70" s="594">
        <f t="shared" si="25"/>
        <v>33.15</v>
      </c>
      <c r="I70" s="600">
        <f t="shared" si="26"/>
        <v>198.85000000000002</v>
      </c>
      <c r="J70" s="601">
        <f t="shared" si="27"/>
        <v>464.45000000000005</v>
      </c>
      <c r="K70" s="594">
        <f t="shared" si="28"/>
        <v>258.25</v>
      </c>
      <c r="L70" s="594">
        <f t="shared" si="29"/>
        <v>292.75</v>
      </c>
      <c r="M70" s="594">
        <f t="shared" si="30"/>
        <v>329.35</v>
      </c>
      <c r="N70" s="600">
        <f t="shared" si="31"/>
        <v>376.40000000000003</v>
      </c>
      <c r="O70" s="596">
        <f t="shared" si="32"/>
        <v>551</v>
      </c>
      <c r="P70" s="596">
        <f t="shared" si="33"/>
        <v>587.6</v>
      </c>
      <c r="Q70" s="601">
        <f t="shared" si="34"/>
        <v>634.65000000000009</v>
      </c>
      <c r="R70" s="594">
        <f t="shared" si="35"/>
        <v>722.7</v>
      </c>
      <c r="S70" s="596">
        <f t="shared" si="36"/>
        <v>1015.45</v>
      </c>
      <c r="T70" s="596">
        <f t="shared" si="37"/>
        <v>1052.0500000000002</v>
      </c>
      <c r="U70" s="599">
        <f t="shared" si="38"/>
        <v>1099.1000000000001</v>
      </c>
      <c r="W70" s="34">
        <f t="shared" si="39"/>
        <v>10000</v>
      </c>
      <c r="X70" s="857">
        <f t="shared" si="40"/>
        <v>750</v>
      </c>
      <c r="Y70" s="528">
        <v>100</v>
      </c>
      <c r="AA70" s="531">
        <f t="shared" si="41"/>
        <v>23.799999999999997</v>
      </c>
      <c r="AB70" s="115">
        <f t="shared" si="42"/>
        <v>26.774999999999999</v>
      </c>
      <c r="AC70" s="532">
        <f t="shared" ref="AC70:AC75" si="47">C70*$L$143</f>
        <v>30.599999999999998</v>
      </c>
    </row>
    <row r="71" spans="1:30">
      <c r="A71" s="130">
        <f t="shared" si="44"/>
        <v>71</v>
      </c>
      <c r="B71" s="16"/>
      <c r="C71" s="617">
        <f t="shared" si="45"/>
        <v>175</v>
      </c>
      <c r="D71" s="12">
        <f t="shared" si="46"/>
        <v>234.67886567912993</v>
      </c>
      <c r="E71" s="12" t="s">
        <v>131</v>
      </c>
      <c r="F71" s="620">
        <f>MROUND(C71*((C71-INDEX(Aannames!$E$99:$E$105,MATCH(C71,Aannames!$E$99:$E$105,1)))/(INDEX(Aannames!$E$99:$E$105,MATCH(C71,Aannames!$E$99:$E$105,1)+1)-INDEX(Aannames!$E$99:$E$105,MATCH(C71,Aannames!$E$99:$E$105,1)))*INDEX(Aannames!$M$99:$M$105,MATCH(C71,Aannames!$E$99:$E$105,1)+1)
+(INDEX(Aannames!$E$99:$E$105,MATCH(C71,Aannames!$E$99:$E$105,1)+1)-C71)/(INDEX(Aannames!$E$99:$E$105,MATCH(C71,Aannames!$E$99:$E$105,1)+1)-INDEX(Aannames!$E$99:$E$105,MATCH(C71,Aannames!$E$99:$E$105,1)))*INDEX(Aannames!$M$99:$M$105,MATCH(C71,Aannames!$E$99:$E$105,1))),500)</f>
        <v>2689000</v>
      </c>
      <c r="G71" s="594">
        <f t="shared" si="24"/>
        <v>242</v>
      </c>
      <c r="H71" s="594">
        <f t="shared" si="25"/>
        <v>34.5</v>
      </c>
      <c r="I71" s="600">
        <f t="shared" si="26"/>
        <v>207.05</v>
      </c>
      <c r="J71" s="601">
        <f t="shared" si="27"/>
        <v>483.55</v>
      </c>
      <c r="K71" s="594">
        <f t="shared" si="28"/>
        <v>268.90000000000003</v>
      </c>
      <c r="L71" s="594">
        <f t="shared" si="29"/>
        <v>301.35000000000002</v>
      </c>
      <c r="M71" s="594">
        <f t="shared" si="30"/>
        <v>339</v>
      </c>
      <c r="N71" s="600">
        <f t="shared" si="31"/>
        <v>387.45000000000005</v>
      </c>
      <c r="O71" s="596">
        <f t="shared" si="32"/>
        <v>570.25</v>
      </c>
      <c r="P71" s="596">
        <f t="shared" si="33"/>
        <v>607.90000000000009</v>
      </c>
      <c r="Q71" s="601">
        <f t="shared" si="34"/>
        <v>656.35000000000014</v>
      </c>
      <c r="R71" s="594">
        <f t="shared" si="35"/>
        <v>752.45</v>
      </c>
      <c r="S71" s="596">
        <f t="shared" si="36"/>
        <v>1053.8</v>
      </c>
      <c r="T71" s="596">
        <f t="shared" si="37"/>
        <v>1091.45</v>
      </c>
      <c r="U71" s="599">
        <f t="shared" si="38"/>
        <v>1139.9000000000001</v>
      </c>
      <c r="W71" s="34">
        <f t="shared" si="39"/>
        <v>10000</v>
      </c>
      <c r="X71" s="857">
        <f t="shared" si="40"/>
        <v>750</v>
      </c>
      <c r="Y71" s="528">
        <v>100</v>
      </c>
      <c r="AA71" s="531">
        <f t="shared" si="41"/>
        <v>24.499999999999996</v>
      </c>
      <c r="AB71" s="115">
        <f t="shared" si="42"/>
        <v>27.5625</v>
      </c>
      <c r="AC71" s="532">
        <f t="shared" si="47"/>
        <v>31.5</v>
      </c>
    </row>
    <row r="72" spans="1:30">
      <c r="A72" s="130">
        <f t="shared" si="44"/>
        <v>72</v>
      </c>
      <c r="B72" s="16"/>
      <c r="C72" s="617">
        <f t="shared" si="45"/>
        <v>180</v>
      </c>
      <c r="D72" s="12">
        <f t="shared" si="46"/>
        <v>241.38397612710509</v>
      </c>
      <c r="E72" s="12" t="s">
        <v>131</v>
      </c>
      <c r="F72" s="620">
        <f>MROUND(C72*((C72-INDEX(Aannames!$E$99:$E$105,MATCH(C72,Aannames!$E$99:$E$105,1)))/(INDEX(Aannames!$E$99:$E$105,MATCH(C72,Aannames!$E$99:$E$105,1)+1)-INDEX(Aannames!$E$99:$E$105,MATCH(C72,Aannames!$E$99:$E$105,1)))*INDEX(Aannames!$M$99:$M$105,MATCH(C72,Aannames!$E$99:$E$105,1)+1)
+(INDEX(Aannames!$E$99:$E$105,MATCH(C72,Aannames!$E$99:$E$105,1)+1)-C72)/(INDEX(Aannames!$E$99:$E$105,MATCH(C72,Aannames!$E$99:$E$105,1)+1)-INDEX(Aannames!$E$99:$E$105,MATCH(C72,Aannames!$E$99:$E$105,1)))*INDEX(Aannames!$M$99:$M$105,MATCH(C72,Aannames!$E$99:$E$105,1))),500)</f>
        <v>2797000</v>
      </c>
      <c r="G72" s="594">
        <f t="shared" si="24"/>
        <v>251.75</v>
      </c>
      <c r="H72" s="594">
        <f t="shared" si="25"/>
        <v>35.9</v>
      </c>
      <c r="I72" s="600">
        <f t="shared" si="26"/>
        <v>215.35000000000002</v>
      </c>
      <c r="J72" s="601">
        <f t="shared" si="27"/>
        <v>503</v>
      </c>
      <c r="K72" s="594">
        <f t="shared" si="28"/>
        <v>279.7</v>
      </c>
      <c r="L72" s="594">
        <f t="shared" si="29"/>
        <v>309.95000000000005</v>
      </c>
      <c r="M72" s="594">
        <f t="shared" si="30"/>
        <v>348.70000000000005</v>
      </c>
      <c r="N72" s="600">
        <f t="shared" si="31"/>
        <v>398.5</v>
      </c>
      <c r="O72" s="596">
        <f t="shared" si="32"/>
        <v>589.65000000000009</v>
      </c>
      <c r="P72" s="596">
        <f t="shared" si="33"/>
        <v>628.40000000000009</v>
      </c>
      <c r="Q72" s="601">
        <f t="shared" si="34"/>
        <v>678.2</v>
      </c>
      <c r="R72" s="594">
        <f t="shared" si="35"/>
        <v>782.7</v>
      </c>
      <c r="S72" s="596">
        <f t="shared" si="36"/>
        <v>1092.6500000000001</v>
      </c>
      <c r="T72" s="596">
        <f t="shared" si="37"/>
        <v>1131.4000000000001</v>
      </c>
      <c r="U72" s="599">
        <f t="shared" si="38"/>
        <v>1181.2</v>
      </c>
      <c r="W72" s="34">
        <f t="shared" si="39"/>
        <v>10000</v>
      </c>
      <c r="X72" s="857">
        <f t="shared" si="40"/>
        <v>750</v>
      </c>
      <c r="Y72" s="528">
        <v>100</v>
      </c>
      <c r="AA72" s="531">
        <f t="shared" si="41"/>
        <v>25.199999999999996</v>
      </c>
      <c r="AB72" s="115">
        <f t="shared" si="42"/>
        <v>28.35</v>
      </c>
      <c r="AC72" s="532">
        <f t="shared" si="47"/>
        <v>32.4</v>
      </c>
    </row>
    <row r="73" spans="1:30">
      <c r="A73" s="130">
        <f t="shared" si="44"/>
        <v>73</v>
      </c>
      <c r="B73" s="16"/>
      <c r="C73" s="617">
        <f t="shared" si="45"/>
        <v>185</v>
      </c>
      <c r="D73" s="12">
        <f t="shared" si="46"/>
        <v>248.08908657508022</v>
      </c>
      <c r="E73" s="12" t="s">
        <v>131</v>
      </c>
      <c r="F73" s="620">
        <f>MROUND(C73*((C73-INDEX(Aannames!$E$99:$E$105,MATCH(C73,Aannames!$E$99:$E$105,1)))/(INDEX(Aannames!$E$99:$E$105,MATCH(C73,Aannames!$E$99:$E$105,1)+1)-INDEX(Aannames!$E$99:$E$105,MATCH(C73,Aannames!$E$99:$E$105,1)))*INDEX(Aannames!$M$99:$M$105,MATCH(C73,Aannames!$E$99:$E$105,1)+1)
+(INDEX(Aannames!$E$99:$E$105,MATCH(C73,Aannames!$E$99:$E$105,1)+1)-C73)/(INDEX(Aannames!$E$99:$E$105,MATCH(C73,Aannames!$E$99:$E$105,1)+1)-INDEX(Aannames!$E$99:$E$105,MATCH(C73,Aannames!$E$99:$E$105,1)))*INDEX(Aannames!$M$99:$M$105,MATCH(C73,Aannames!$E$99:$E$105,1))),500)</f>
        <v>2877000</v>
      </c>
      <c r="G73" s="594">
        <f t="shared" si="24"/>
        <v>258.95</v>
      </c>
      <c r="H73" s="594">
        <f t="shared" si="25"/>
        <v>55.400000000000006</v>
      </c>
      <c r="I73" s="600">
        <f t="shared" si="26"/>
        <v>332.3</v>
      </c>
      <c r="J73" s="601">
        <f t="shared" si="27"/>
        <v>646.65000000000009</v>
      </c>
      <c r="K73" s="594">
        <f t="shared" si="28"/>
        <v>287.7</v>
      </c>
      <c r="L73" s="594">
        <f t="shared" si="29"/>
        <v>318.55</v>
      </c>
      <c r="M73" s="594">
        <f t="shared" si="30"/>
        <v>358.40000000000003</v>
      </c>
      <c r="N73" s="600">
        <f t="shared" si="31"/>
        <v>409.6</v>
      </c>
      <c r="O73" s="596">
        <f t="shared" si="32"/>
        <v>606.25</v>
      </c>
      <c r="P73" s="596">
        <f t="shared" si="33"/>
        <v>646.1</v>
      </c>
      <c r="Q73" s="601">
        <f t="shared" si="34"/>
        <v>697.3</v>
      </c>
      <c r="R73" s="594">
        <f t="shared" si="35"/>
        <v>934.35000000000014</v>
      </c>
      <c r="S73" s="596">
        <f t="shared" si="36"/>
        <v>1252.9000000000001</v>
      </c>
      <c r="T73" s="596">
        <f t="shared" si="37"/>
        <v>1292.75</v>
      </c>
      <c r="U73" s="599">
        <f t="shared" si="38"/>
        <v>1343.95</v>
      </c>
      <c r="W73" s="34">
        <f t="shared" si="39"/>
        <v>10000</v>
      </c>
      <c r="X73" s="857">
        <f t="shared" si="40"/>
        <v>500</v>
      </c>
      <c r="Y73" s="528">
        <v>100</v>
      </c>
      <c r="AA73" s="531">
        <f t="shared" si="41"/>
        <v>25.9</v>
      </c>
      <c r="AB73" s="115">
        <f t="shared" si="42"/>
        <v>29.137499999999999</v>
      </c>
      <c r="AC73" s="532">
        <f t="shared" si="47"/>
        <v>33.299999999999997</v>
      </c>
    </row>
    <row r="74" spans="1:30">
      <c r="A74" s="130">
        <f t="shared" si="44"/>
        <v>74</v>
      </c>
      <c r="B74" s="16"/>
      <c r="C74" s="617">
        <f t="shared" si="45"/>
        <v>190</v>
      </c>
      <c r="D74" s="12">
        <f t="shared" si="46"/>
        <v>254.79419702305537</v>
      </c>
      <c r="E74" s="12" t="s">
        <v>131</v>
      </c>
      <c r="F74" s="620">
        <f>MROUND(C74*((C74-INDEX(Aannames!$E$99:$E$105,MATCH(C74,Aannames!$E$99:$E$105,1)))/(INDEX(Aannames!$E$99:$E$105,MATCH(C74,Aannames!$E$99:$E$105,1)+1)-INDEX(Aannames!$E$99:$E$105,MATCH(C74,Aannames!$E$99:$E$105,1)))*INDEX(Aannames!$M$99:$M$105,MATCH(C74,Aannames!$E$99:$E$105,1)+1)
+(INDEX(Aannames!$E$99:$E$105,MATCH(C74,Aannames!$E$99:$E$105,1)+1)-C74)/(INDEX(Aannames!$E$99:$E$105,MATCH(C74,Aannames!$E$99:$E$105,1)+1)-INDEX(Aannames!$E$99:$E$105,MATCH(C74,Aannames!$E$99:$E$105,1)))*INDEX(Aannames!$M$99:$M$105,MATCH(C74,Aannames!$E$99:$E$105,1))),500)</f>
        <v>2956500</v>
      </c>
      <c r="G74" s="594">
        <f t="shared" si="24"/>
        <v>266.10000000000002</v>
      </c>
      <c r="H74" s="594">
        <f t="shared" si="25"/>
        <v>56.900000000000006</v>
      </c>
      <c r="I74" s="600">
        <f t="shared" si="26"/>
        <v>341.5</v>
      </c>
      <c r="J74" s="601">
        <f t="shared" si="27"/>
        <v>664.5</v>
      </c>
      <c r="K74" s="594">
        <f t="shared" si="28"/>
        <v>295.65000000000003</v>
      </c>
      <c r="L74" s="594">
        <f t="shared" si="29"/>
        <v>327.20000000000005</v>
      </c>
      <c r="M74" s="594">
        <f t="shared" si="30"/>
        <v>368.1</v>
      </c>
      <c r="N74" s="600">
        <f t="shared" si="31"/>
        <v>420.65000000000003</v>
      </c>
      <c r="O74" s="596">
        <f t="shared" si="32"/>
        <v>622.85000000000014</v>
      </c>
      <c r="P74" s="596">
        <f t="shared" si="33"/>
        <v>663.75</v>
      </c>
      <c r="Q74" s="601">
        <f t="shared" si="34"/>
        <v>716.30000000000007</v>
      </c>
      <c r="R74" s="594">
        <f t="shared" si="35"/>
        <v>960.15000000000009</v>
      </c>
      <c r="S74" s="596">
        <f t="shared" si="36"/>
        <v>1287.3500000000001</v>
      </c>
      <c r="T74" s="596">
        <f t="shared" si="37"/>
        <v>1328.25</v>
      </c>
      <c r="U74" s="599">
        <f t="shared" si="38"/>
        <v>1380.8000000000002</v>
      </c>
      <c r="W74" s="34">
        <f t="shared" si="39"/>
        <v>10000</v>
      </c>
      <c r="X74" s="857">
        <f t="shared" si="40"/>
        <v>500</v>
      </c>
      <c r="Y74" s="528">
        <v>100</v>
      </c>
      <c r="AA74" s="531">
        <f t="shared" si="41"/>
        <v>26.599999999999998</v>
      </c>
      <c r="AB74" s="115">
        <f t="shared" si="42"/>
        <v>29.925000000000001</v>
      </c>
      <c r="AC74" s="532">
        <f t="shared" si="47"/>
        <v>34.199999999999996</v>
      </c>
    </row>
    <row r="75" spans="1:30">
      <c r="A75" s="130">
        <f t="shared" si="44"/>
        <v>75</v>
      </c>
      <c r="B75" s="16"/>
      <c r="C75" s="617">
        <f t="shared" si="45"/>
        <v>195</v>
      </c>
      <c r="D75" s="12">
        <f t="shared" si="46"/>
        <v>261.49930747103048</v>
      </c>
      <c r="E75" s="12" t="s">
        <v>131</v>
      </c>
      <c r="F75" s="620">
        <f>MROUND(C75*((C75-INDEX(Aannames!$E$99:$E$105,MATCH(C75,Aannames!$E$99:$E$105,1)))/(INDEX(Aannames!$E$99:$E$105,MATCH(C75,Aannames!$E$99:$E$105,1)+1)-INDEX(Aannames!$E$99:$E$105,MATCH(C75,Aannames!$E$99:$E$105,1)))*INDEX(Aannames!$M$99:$M$105,MATCH(C75,Aannames!$E$99:$E$105,1)+1)
+(INDEX(Aannames!$E$99:$E$105,MATCH(C75,Aannames!$E$99:$E$105,1)+1)-C75)/(INDEX(Aannames!$E$99:$E$105,MATCH(C75,Aannames!$E$99:$E$105,1)+1)-INDEX(Aannames!$E$99:$E$105,MATCH(C75,Aannames!$E$99:$E$105,1)))*INDEX(Aannames!$M$99:$M$105,MATCH(C75,Aannames!$E$99:$E$105,1))),500)</f>
        <v>3036000</v>
      </c>
      <c r="G75" s="594">
        <f t="shared" si="24"/>
        <v>273.25</v>
      </c>
      <c r="H75" s="594">
        <f t="shared" si="25"/>
        <v>58.45</v>
      </c>
      <c r="I75" s="600">
        <f t="shared" si="26"/>
        <v>350.65000000000003</v>
      </c>
      <c r="J75" s="601">
        <f t="shared" si="27"/>
        <v>682.35</v>
      </c>
      <c r="K75" s="594">
        <f t="shared" si="28"/>
        <v>303.60000000000002</v>
      </c>
      <c r="L75" s="594">
        <f t="shared" si="29"/>
        <v>335.8</v>
      </c>
      <c r="M75" s="594">
        <f t="shared" si="30"/>
        <v>377.75</v>
      </c>
      <c r="N75" s="600">
        <f t="shared" si="31"/>
        <v>431.75</v>
      </c>
      <c r="O75" s="596">
        <f t="shared" si="32"/>
        <v>639.40000000000009</v>
      </c>
      <c r="P75" s="596">
        <f t="shared" si="33"/>
        <v>681.35</v>
      </c>
      <c r="Q75" s="601">
        <f t="shared" si="34"/>
        <v>735.35</v>
      </c>
      <c r="R75" s="594">
        <f t="shared" si="35"/>
        <v>985.95</v>
      </c>
      <c r="S75" s="596">
        <f t="shared" si="36"/>
        <v>1321.75</v>
      </c>
      <c r="T75" s="596">
        <f t="shared" si="37"/>
        <v>1363.7</v>
      </c>
      <c r="U75" s="599">
        <f t="shared" si="38"/>
        <v>1417.7</v>
      </c>
      <c r="W75" s="34">
        <f t="shared" si="39"/>
        <v>10000</v>
      </c>
      <c r="X75" s="857">
        <f t="shared" si="40"/>
        <v>500</v>
      </c>
      <c r="Y75" s="528">
        <v>100</v>
      </c>
      <c r="AA75" s="531">
        <f t="shared" si="41"/>
        <v>27.299999999999997</v>
      </c>
      <c r="AB75" s="115">
        <f t="shared" si="42"/>
        <v>30.712499999999999</v>
      </c>
      <c r="AC75" s="532">
        <f t="shared" si="47"/>
        <v>35.1</v>
      </c>
    </row>
    <row r="76" spans="1:30">
      <c r="A76" s="310"/>
      <c r="B76" s="16"/>
      <c r="C76" s="949" t="s">
        <v>1515</v>
      </c>
      <c r="D76" s="12"/>
      <c r="E76" s="12"/>
      <c r="F76" s="560"/>
      <c r="G76" s="594"/>
      <c r="H76" s="594"/>
      <c r="I76" s="594"/>
      <c r="J76" s="596"/>
      <c r="K76" s="594"/>
      <c r="L76" s="594"/>
      <c r="M76" s="594"/>
      <c r="N76" s="594"/>
      <c r="O76" s="596"/>
      <c r="P76" s="596"/>
      <c r="Q76" s="596"/>
      <c r="R76" s="594"/>
      <c r="S76" s="596"/>
      <c r="T76" s="596"/>
      <c r="U76" s="599"/>
      <c r="W76" s="34"/>
      <c r="X76" s="857"/>
      <c r="Y76" s="528"/>
      <c r="AA76" s="531"/>
      <c r="AB76" s="115"/>
      <c r="AC76" s="532"/>
    </row>
    <row r="77" spans="1:30" ht="7.5" customHeight="1">
      <c r="A77" s="310" t="str">
        <f>IF(ISNUMBER(D77),ROW(),"")</f>
        <v/>
      </c>
      <c r="B77" s="16"/>
      <c r="C77" s="623"/>
      <c r="D77" s="20"/>
      <c r="E77" s="20"/>
      <c r="F77" s="622"/>
      <c r="G77" s="626"/>
      <c r="H77" s="626"/>
      <c r="I77" s="626"/>
      <c r="J77" s="626"/>
      <c r="K77" s="626"/>
      <c r="L77" s="626"/>
      <c r="M77" s="626"/>
      <c r="N77" s="626"/>
      <c r="O77" s="626"/>
      <c r="P77" s="626"/>
      <c r="Q77" s="626"/>
      <c r="R77" s="626"/>
      <c r="S77" s="626"/>
      <c r="T77" s="626"/>
      <c r="U77" s="627"/>
      <c r="W77" s="21"/>
      <c r="X77" s="20"/>
      <c r="Y77" s="22"/>
      <c r="AA77" s="21"/>
      <c r="AB77" s="20"/>
      <c r="AC77" s="22"/>
    </row>
    <row r="78" spans="1:30">
      <c r="A78" s="310"/>
      <c r="B78" s="16"/>
      <c r="C78" s="2"/>
      <c r="D78" s="2"/>
      <c r="E78" s="2"/>
      <c r="F78" s="2"/>
      <c r="G78" s="2"/>
      <c r="H78" s="2"/>
      <c r="I78" s="2"/>
      <c r="J78" s="2"/>
      <c r="K78" s="2"/>
      <c r="L78" s="2"/>
      <c r="M78" s="2"/>
      <c r="N78" s="2"/>
      <c r="O78" s="2"/>
      <c r="P78" s="2"/>
      <c r="Q78" s="2"/>
      <c r="R78" s="2"/>
      <c r="S78" s="2"/>
      <c r="T78" s="2"/>
      <c r="U78" s="2"/>
      <c r="V78" s="16"/>
      <c r="Z78" s="16"/>
    </row>
    <row r="79" spans="1:30" s="452" customFormat="1" ht="22.5" customHeight="1" thickBot="1">
      <c r="A79" s="31"/>
      <c r="B79" s="287">
        <f>ROUNDDOWN(MAX($B$8:B78),0)+1</f>
        <v>3</v>
      </c>
      <c r="C79" s="300" t="s">
        <v>1514</v>
      </c>
      <c r="D79" s="301"/>
      <c r="E79" s="301"/>
      <c r="F79" s="301"/>
      <c r="G79" s="301"/>
      <c r="H79" s="301"/>
      <c r="I79" s="301"/>
      <c r="J79" s="301"/>
      <c r="K79" s="301"/>
      <c r="L79" s="301"/>
      <c r="M79" s="301"/>
      <c r="N79" s="301"/>
      <c r="O79" s="301"/>
      <c r="P79" s="301"/>
      <c r="Q79" s="301"/>
      <c r="R79" s="289"/>
      <c r="S79" s="301"/>
      <c r="T79" s="301"/>
      <c r="U79" s="302"/>
      <c r="V79" s="158"/>
      <c r="W79" s="300"/>
      <c r="X79" s="301"/>
      <c r="Y79" s="302"/>
      <c r="Z79" s="158"/>
      <c r="AA79" s="300"/>
      <c r="AB79" s="301"/>
      <c r="AC79" s="302"/>
      <c r="AD79" s="69"/>
    </row>
    <row r="80" spans="1:30" ht="9.9499999999999993" customHeight="1">
      <c r="A80" s="30" t="str">
        <f>IF(ISNUMBER(D80),ROW(),"")</f>
        <v/>
      </c>
      <c r="B80" s="16"/>
      <c r="C80" s="618"/>
      <c r="D80" s="220"/>
      <c r="E80" s="220"/>
      <c r="F80" s="621"/>
      <c r="G80" s="624"/>
      <c r="H80" s="624"/>
      <c r="I80" s="624"/>
      <c r="J80" s="624"/>
      <c r="K80" s="624"/>
      <c r="L80" s="624"/>
      <c r="M80" s="624"/>
      <c r="N80" s="624"/>
      <c r="O80" s="624"/>
      <c r="P80" s="624"/>
      <c r="Q80" s="624"/>
      <c r="R80" s="624"/>
      <c r="S80" s="624"/>
      <c r="T80" s="624"/>
      <c r="U80" s="625"/>
      <c r="W80" s="219"/>
      <c r="X80" s="220"/>
      <c r="Y80" s="221"/>
      <c r="AA80" s="219"/>
      <c r="AB80" s="220"/>
      <c r="AC80" s="221"/>
    </row>
    <row r="81" spans="1:29">
      <c r="A81" s="130">
        <f>IF(ISNUMBER(D81),ROW(),"")</f>
        <v>81</v>
      </c>
      <c r="B81" s="16"/>
      <c r="C81" s="617">
        <f>C75+5</f>
        <v>200</v>
      </c>
      <c r="D81" s="12">
        <f>C81*PKperKW</f>
        <v>268.20441791900566</v>
      </c>
      <c r="E81" s="12" t="s">
        <v>131</v>
      </c>
      <c r="F81" s="620">
        <f>MROUND(C81*((C81-INDEX(Aannames!$E$99:$E$105,MATCH(C81,Aannames!$E$99:$E$105,1)))/(INDEX(Aannames!$E$99:$E$105,MATCH(C81,Aannames!$E$99:$E$105,1)+1)-INDEX(Aannames!$E$99:$E$105,MATCH(C81,Aannames!$E$99:$E$105,1)))*INDEX(Aannames!$M$99:$M$105,MATCH(C81,Aannames!$E$99:$E$105,1)+1)
+(INDEX(Aannames!$E$99:$E$105,MATCH(C81,Aannames!$E$99:$E$105,1)+1)-C81)/(INDEX(Aannames!$E$99:$E$105,MATCH(C81,Aannames!$E$99:$E$105,1)+1)-INDEX(Aannames!$E$99:$E$105,MATCH(C81,Aannames!$E$99:$E$105,1)))*INDEX(Aannames!$M$99:$M$105,MATCH(C81,Aannames!$E$99:$E$105,1))),500)</f>
        <v>3116000</v>
      </c>
      <c r="G81" s="594">
        <f t="shared" ref="G81:G116" si="48">MROUND($F81*(1-$G$126/100)/W81,0.05)</f>
        <v>280.45</v>
      </c>
      <c r="H81" s="594">
        <f t="shared" ref="H81:H116" si="49">MROUND($F81*(1+$G$126/100)/2*$H$134/100/$X81,0.05)</f>
        <v>60</v>
      </c>
      <c r="I81" s="600">
        <f t="shared" ref="I81:I116" si="50">MROUND($F81*(1+$G$126/100)/2*$G$127/100/X81,0.05)</f>
        <v>359.90000000000003</v>
      </c>
      <c r="J81" s="601">
        <f>SUM(G81:I81)</f>
        <v>700.35</v>
      </c>
      <c r="K81" s="594">
        <f>MROUND($F81*Y81/100/W81,0.05)</f>
        <v>311.60000000000002</v>
      </c>
      <c r="L81" s="594">
        <f t="shared" ref="L81:L116" si="51">MROUND($C81*$L$141*$G$128,0.05)</f>
        <v>344.40000000000003</v>
      </c>
      <c r="M81" s="594">
        <f t="shared" ref="M81:M116" si="52">MROUND($C81*$L$142*$G$128,0.05)</f>
        <v>387.45000000000005</v>
      </c>
      <c r="N81" s="600">
        <f t="shared" ref="N81:N116" si="53">MROUND($C81*$L$143*$G$128,0.05)</f>
        <v>442.8</v>
      </c>
      <c r="O81" s="596">
        <f t="shared" ref="O81:Q82" si="54">SUM($K81,L81)</f>
        <v>656</v>
      </c>
      <c r="P81" s="596">
        <f t="shared" si="54"/>
        <v>699.05000000000007</v>
      </c>
      <c r="Q81" s="601">
        <f t="shared" si="54"/>
        <v>754.40000000000009</v>
      </c>
      <c r="R81" s="594">
        <f>J81+K81</f>
        <v>1011.95</v>
      </c>
      <c r="S81" s="596">
        <f t="shared" ref="S81:U82" si="55">SUM($J81,O81)</f>
        <v>1356.35</v>
      </c>
      <c r="T81" s="596">
        <f t="shared" si="55"/>
        <v>1399.4</v>
      </c>
      <c r="U81" s="599">
        <f t="shared" si="55"/>
        <v>1454.75</v>
      </c>
      <c r="W81" s="34">
        <f t="shared" ref="W81:W106" si="56">$H$137</f>
        <v>10000</v>
      </c>
      <c r="X81" s="857">
        <f t="shared" ref="X81:X116" si="57">IF(C81&lt;=180,$H$138,IF(C81&gt;180,$H$139,"-"))</f>
        <v>500</v>
      </c>
      <c r="Y81" s="528">
        <v>100</v>
      </c>
      <c r="AA81" s="531">
        <f t="shared" ref="AA81:AA116" si="58">C81*$L$141</f>
        <v>27.999999999999996</v>
      </c>
      <c r="AB81" s="115">
        <f t="shared" ref="AB81:AB116" si="59">C81*$L$142</f>
        <v>31.5</v>
      </c>
      <c r="AC81" s="532">
        <f t="shared" ref="AC81:AC116" si="60">C81*$L$143</f>
        <v>36</v>
      </c>
    </row>
    <row r="82" spans="1:29">
      <c r="A82" s="130">
        <f>IF(ISNUMBER(D82),ROW(),"")</f>
        <v>82</v>
      </c>
      <c r="B82" s="16"/>
      <c r="C82" s="617">
        <f>C81+5</f>
        <v>205</v>
      </c>
      <c r="D82" s="12">
        <f>C82*PKperKW</f>
        <v>274.90952836698079</v>
      </c>
      <c r="E82" s="12" t="s">
        <v>131</v>
      </c>
      <c r="F82" s="620">
        <f>MROUND(C82*((C82-INDEX(Aannames!$E$99:$E$105,MATCH(C82,Aannames!$E$99:$E$105,1)))/(INDEX(Aannames!$E$99:$E$105,MATCH(C82,Aannames!$E$99:$E$105,1)+1)-INDEX(Aannames!$E$99:$E$105,MATCH(C82,Aannames!$E$99:$E$105,1)))*INDEX(Aannames!$M$99:$M$105,MATCH(C82,Aannames!$E$99:$E$105,1)+1)
+(INDEX(Aannames!$E$99:$E$105,MATCH(C82,Aannames!$E$99:$E$105,1)+1)-C82)/(INDEX(Aannames!$E$99:$E$105,MATCH(C82,Aannames!$E$99:$E$105,1)+1)-INDEX(Aannames!$E$99:$E$105,MATCH(C82,Aannames!$E$99:$E$105,1)))*INDEX(Aannames!$M$99:$M$105,MATCH(C82,Aannames!$E$99:$E$105,1))),500)</f>
        <v>3196000</v>
      </c>
      <c r="G82" s="594">
        <f t="shared" si="48"/>
        <v>287.65000000000003</v>
      </c>
      <c r="H82" s="594">
        <f t="shared" si="49"/>
        <v>61.5</v>
      </c>
      <c r="I82" s="600">
        <f t="shared" si="50"/>
        <v>369.15000000000003</v>
      </c>
      <c r="J82" s="601">
        <f>SUM(G82:I82)</f>
        <v>718.30000000000007</v>
      </c>
      <c r="K82" s="594">
        <f>MROUND($F82*Y82/100/W82,0.05)</f>
        <v>319.60000000000002</v>
      </c>
      <c r="L82" s="594">
        <f t="shared" si="51"/>
        <v>353</v>
      </c>
      <c r="M82" s="594">
        <f t="shared" si="52"/>
        <v>397.15000000000003</v>
      </c>
      <c r="N82" s="600">
        <f t="shared" si="53"/>
        <v>453.85</v>
      </c>
      <c r="O82" s="596">
        <f t="shared" si="54"/>
        <v>672.6</v>
      </c>
      <c r="P82" s="596">
        <f t="shared" si="54"/>
        <v>716.75</v>
      </c>
      <c r="Q82" s="601">
        <f t="shared" si="54"/>
        <v>773.45</v>
      </c>
      <c r="R82" s="594">
        <f>J82+K82</f>
        <v>1037.9000000000001</v>
      </c>
      <c r="S82" s="596">
        <f t="shared" si="55"/>
        <v>1390.9</v>
      </c>
      <c r="T82" s="596">
        <f t="shared" si="55"/>
        <v>1435.0500000000002</v>
      </c>
      <c r="U82" s="599">
        <f t="shared" si="55"/>
        <v>1491.75</v>
      </c>
      <c r="W82" s="34">
        <f t="shared" si="56"/>
        <v>10000</v>
      </c>
      <c r="X82" s="857">
        <f t="shared" si="57"/>
        <v>500</v>
      </c>
      <c r="Y82" s="528">
        <v>100</v>
      </c>
      <c r="AA82" s="531">
        <f t="shared" si="58"/>
        <v>28.699999999999996</v>
      </c>
      <c r="AB82" s="115">
        <f t="shared" si="59"/>
        <v>32.287500000000001</v>
      </c>
      <c r="AC82" s="532">
        <f t="shared" si="60"/>
        <v>36.9</v>
      </c>
    </row>
    <row r="83" spans="1:29">
      <c r="A83" s="130">
        <f t="shared" si="44"/>
        <v>83</v>
      </c>
      <c r="B83" s="16"/>
      <c r="C83" s="617">
        <f>C82+5</f>
        <v>210</v>
      </c>
      <c r="D83" s="12">
        <f t="shared" si="46"/>
        <v>281.61463881495592</v>
      </c>
      <c r="E83" s="12" t="s">
        <v>131</v>
      </c>
      <c r="F83" s="620">
        <f>MROUND(C83*((C83-INDEX(Aannames!$E$99:$E$105,MATCH(C83,Aannames!$E$99:$E$105,1)))/(INDEX(Aannames!$E$99:$E$105,MATCH(C83,Aannames!$E$99:$E$105,1)+1)-INDEX(Aannames!$E$99:$E$105,MATCH(C83,Aannames!$E$99:$E$105,1)))*INDEX(Aannames!$M$99:$M$105,MATCH(C83,Aannames!$E$99:$E$105,1)+1)
+(INDEX(Aannames!$E$99:$E$105,MATCH(C83,Aannames!$E$99:$E$105,1)+1)-C83)/(INDEX(Aannames!$E$99:$E$105,MATCH(C83,Aannames!$E$99:$E$105,1)+1)-INDEX(Aannames!$E$99:$E$105,MATCH(C83,Aannames!$E$99:$E$105,1)))*INDEX(Aannames!$M$99:$M$105,MATCH(C83,Aannames!$E$99:$E$105,1))),500)</f>
        <v>3276000</v>
      </c>
      <c r="G83" s="594">
        <f t="shared" si="48"/>
        <v>294.85000000000002</v>
      </c>
      <c r="H83" s="594">
        <f t="shared" si="49"/>
        <v>63.050000000000004</v>
      </c>
      <c r="I83" s="600">
        <f t="shared" si="50"/>
        <v>378.40000000000003</v>
      </c>
      <c r="J83" s="601">
        <f t="shared" si="27"/>
        <v>736.30000000000007</v>
      </c>
      <c r="K83" s="594">
        <f t="shared" si="28"/>
        <v>327.60000000000002</v>
      </c>
      <c r="L83" s="594">
        <f t="shared" si="51"/>
        <v>361.6</v>
      </c>
      <c r="M83" s="594">
        <f t="shared" si="52"/>
        <v>406.8</v>
      </c>
      <c r="N83" s="600">
        <f t="shared" si="53"/>
        <v>464.95000000000005</v>
      </c>
      <c r="O83" s="596">
        <f t="shared" si="32"/>
        <v>689.2</v>
      </c>
      <c r="P83" s="596">
        <f t="shared" si="33"/>
        <v>734.40000000000009</v>
      </c>
      <c r="Q83" s="601">
        <f t="shared" si="34"/>
        <v>792.55000000000007</v>
      </c>
      <c r="R83" s="594">
        <f t="shared" si="35"/>
        <v>1063.9000000000001</v>
      </c>
      <c r="S83" s="596">
        <f t="shared" si="36"/>
        <v>1425.5</v>
      </c>
      <c r="T83" s="596">
        <f t="shared" si="37"/>
        <v>1470.7000000000003</v>
      </c>
      <c r="U83" s="599">
        <f t="shared" si="38"/>
        <v>1528.8500000000001</v>
      </c>
      <c r="W83" s="34">
        <f t="shared" si="56"/>
        <v>10000</v>
      </c>
      <c r="X83" s="857">
        <f t="shared" si="57"/>
        <v>500</v>
      </c>
      <c r="Y83" s="528">
        <v>100</v>
      </c>
      <c r="AA83" s="531">
        <f t="shared" si="58"/>
        <v>29.4</v>
      </c>
      <c r="AB83" s="115">
        <f t="shared" si="59"/>
        <v>33.075000000000003</v>
      </c>
      <c r="AC83" s="532">
        <f t="shared" si="60"/>
        <v>37.799999999999997</v>
      </c>
    </row>
    <row r="84" spans="1:29">
      <c r="A84" s="130">
        <f t="shared" si="44"/>
        <v>84</v>
      </c>
      <c r="B84" s="16"/>
      <c r="C84" s="617">
        <f t="shared" si="45"/>
        <v>215</v>
      </c>
      <c r="D84" s="12">
        <f t="shared" si="46"/>
        <v>288.31974926293105</v>
      </c>
      <c r="E84" s="12" t="s">
        <v>131</v>
      </c>
      <c r="F84" s="620">
        <f>MROUND(C84*((C84-INDEX(Aannames!$E$99:$E$105,MATCH(C84,Aannames!$E$99:$E$105,1)))/(INDEX(Aannames!$E$99:$E$105,MATCH(C84,Aannames!$E$99:$E$105,1)+1)-INDEX(Aannames!$E$99:$E$105,MATCH(C84,Aannames!$E$99:$E$105,1)))*INDEX(Aannames!$M$99:$M$105,MATCH(C84,Aannames!$E$99:$E$105,1)+1)
+(INDEX(Aannames!$E$99:$E$105,MATCH(C84,Aannames!$E$99:$E$105,1)+1)-C84)/(INDEX(Aannames!$E$99:$E$105,MATCH(C84,Aannames!$E$99:$E$105,1)+1)-INDEX(Aannames!$E$99:$E$105,MATCH(C84,Aannames!$E$99:$E$105,1)))*INDEX(Aannames!$M$99:$M$105,MATCH(C84,Aannames!$E$99:$E$105,1))),500)</f>
        <v>3356000</v>
      </c>
      <c r="G84" s="594">
        <f t="shared" si="48"/>
        <v>302.05</v>
      </c>
      <c r="H84" s="594">
        <f t="shared" si="49"/>
        <v>64.600000000000009</v>
      </c>
      <c r="I84" s="600">
        <f t="shared" si="50"/>
        <v>387.6</v>
      </c>
      <c r="J84" s="601">
        <f t="shared" si="27"/>
        <v>754.25</v>
      </c>
      <c r="K84" s="594">
        <f t="shared" si="28"/>
        <v>335.6</v>
      </c>
      <c r="L84" s="594">
        <f t="shared" si="51"/>
        <v>370.25</v>
      </c>
      <c r="M84" s="594">
        <f t="shared" si="52"/>
        <v>416.5</v>
      </c>
      <c r="N84" s="600">
        <f t="shared" si="53"/>
        <v>476</v>
      </c>
      <c r="O84" s="596">
        <f t="shared" si="32"/>
        <v>705.85</v>
      </c>
      <c r="P84" s="596">
        <f t="shared" si="33"/>
        <v>752.1</v>
      </c>
      <c r="Q84" s="601">
        <f t="shared" si="34"/>
        <v>811.6</v>
      </c>
      <c r="R84" s="594">
        <f t="shared" si="35"/>
        <v>1089.8499999999999</v>
      </c>
      <c r="S84" s="596">
        <f t="shared" si="36"/>
        <v>1460.1</v>
      </c>
      <c r="T84" s="596">
        <f t="shared" si="37"/>
        <v>1506.35</v>
      </c>
      <c r="U84" s="599">
        <f t="shared" si="38"/>
        <v>1565.85</v>
      </c>
      <c r="W84" s="34">
        <f t="shared" si="56"/>
        <v>10000</v>
      </c>
      <c r="X84" s="857">
        <f t="shared" si="57"/>
        <v>500</v>
      </c>
      <c r="Y84" s="528">
        <v>100</v>
      </c>
      <c r="AA84" s="531">
        <f t="shared" si="58"/>
        <v>30.099999999999998</v>
      </c>
      <c r="AB84" s="115">
        <f t="shared" si="59"/>
        <v>33.862499999999997</v>
      </c>
      <c r="AC84" s="532">
        <f t="shared" si="60"/>
        <v>38.699999999999996</v>
      </c>
    </row>
    <row r="85" spans="1:29">
      <c r="A85" s="130">
        <f t="shared" si="44"/>
        <v>85</v>
      </c>
      <c r="B85" s="16"/>
      <c r="C85" s="617">
        <f t="shared" si="45"/>
        <v>220</v>
      </c>
      <c r="D85" s="12">
        <f t="shared" si="46"/>
        <v>295.02485971090618</v>
      </c>
      <c r="E85" s="12" t="s">
        <v>131</v>
      </c>
      <c r="F85" s="620">
        <f>MROUND(C85*((C85-INDEX(Aannames!$E$99:$E$105,MATCH(C85,Aannames!$E$99:$E$105,1)))/(INDEX(Aannames!$E$99:$E$105,MATCH(C85,Aannames!$E$99:$E$105,1)+1)-INDEX(Aannames!$E$99:$E$105,MATCH(C85,Aannames!$E$99:$E$105,1)))*INDEX(Aannames!$M$99:$M$105,MATCH(C85,Aannames!$E$99:$E$105,1)+1)
+(INDEX(Aannames!$E$99:$E$105,MATCH(C85,Aannames!$E$99:$E$105,1)+1)-C85)/(INDEX(Aannames!$E$99:$E$105,MATCH(C85,Aannames!$E$99:$E$105,1)+1)-INDEX(Aannames!$E$99:$E$105,MATCH(C85,Aannames!$E$99:$E$105,1)))*INDEX(Aannames!$M$99:$M$105,MATCH(C85,Aannames!$E$99:$E$105,1))),500)</f>
        <v>3436500</v>
      </c>
      <c r="G85" s="594">
        <f t="shared" si="48"/>
        <v>309.3</v>
      </c>
      <c r="H85" s="594">
        <f t="shared" si="49"/>
        <v>66.150000000000006</v>
      </c>
      <c r="I85" s="600">
        <f t="shared" si="50"/>
        <v>396.90000000000003</v>
      </c>
      <c r="J85" s="601">
        <f t="shared" si="27"/>
        <v>772.35000000000014</v>
      </c>
      <c r="K85" s="594">
        <f t="shared" si="28"/>
        <v>343.65000000000003</v>
      </c>
      <c r="L85" s="594">
        <f t="shared" si="51"/>
        <v>378.85</v>
      </c>
      <c r="M85" s="594">
        <f t="shared" si="52"/>
        <v>426.20000000000005</v>
      </c>
      <c r="N85" s="600">
        <f t="shared" si="53"/>
        <v>487.1</v>
      </c>
      <c r="O85" s="596">
        <f t="shared" si="32"/>
        <v>722.5</v>
      </c>
      <c r="P85" s="596">
        <f t="shared" si="33"/>
        <v>769.85000000000014</v>
      </c>
      <c r="Q85" s="601">
        <f t="shared" si="34"/>
        <v>830.75</v>
      </c>
      <c r="R85" s="594">
        <f t="shared" si="35"/>
        <v>1116.0000000000002</v>
      </c>
      <c r="S85" s="596">
        <f t="shared" si="36"/>
        <v>1494.8500000000001</v>
      </c>
      <c r="T85" s="596">
        <f t="shared" si="37"/>
        <v>1542.2000000000003</v>
      </c>
      <c r="U85" s="599">
        <f t="shared" si="38"/>
        <v>1603.1000000000001</v>
      </c>
      <c r="W85" s="34">
        <f t="shared" si="56"/>
        <v>10000</v>
      </c>
      <c r="X85" s="857">
        <f t="shared" si="57"/>
        <v>500</v>
      </c>
      <c r="Y85" s="528">
        <v>100</v>
      </c>
      <c r="AA85" s="531">
        <f t="shared" si="58"/>
        <v>30.799999999999997</v>
      </c>
      <c r="AB85" s="115">
        <f t="shared" si="59"/>
        <v>34.65</v>
      </c>
      <c r="AC85" s="532">
        <f t="shared" si="60"/>
        <v>39.6</v>
      </c>
    </row>
    <row r="86" spans="1:29">
      <c r="A86" s="130">
        <f t="shared" si="44"/>
        <v>86</v>
      </c>
      <c r="B86" s="16"/>
      <c r="C86" s="617">
        <f t="shared" si="45"/>
        <v>225</v>
      </c>
      <c r="D86" s="12">
        <f t="shared" si="46"/>
        <v>301.72997015888137</v>
      </c>
      <c r="E86" s="12" t="s">
        <v>131</v>
      </c>
      <c r="F86" s="620">
        <f>MROUND(C86*((C86-INDEX(Aannames!$E$99:$E$105,MATCH(C86,Aannames!$E$99:$E$105,1)))/(INDEX(Aannames!$E$99:$E$105,MATCH(C86,Aannames!$E$99:$E$105,1)+1)-INDEX(Aannames!$E$99:$E$105,MATCH(C86,Aannames!$E$99:$E$105,1)))*INDEX(Aannames!$M$99:$M$105,MATCH(C86,Aannames!$E$99:$E$105,1)+1)
+(INDEX(Aannames!$E$99:$E$105,MATCH(C86,Aannames!$E$99:$E$105,1)+1)-C86)/(INDEX(Aannames!$E$99:$E$105,MATCH(C86,Aannames!$E$99:$E$105,1)+1)-INDEX(Aannames!$E$99:$E$105,MATCH(C86,Aannames!$E$99:$E$105,1)))*INDEX(Aannames!$M$99:$M$105,MATCH(C86,Aannames!$E$99:$E$105,1))),500)</f>
        <v>3517000</v>
      </c>
      <c r="G86" s="594">
        <f t="shared" si="48"/>
        <v>316.55</v>
      </c>
      <c r="H86" s="594">
        <f t="shared" si="49"/>
        <v>67.7</v>
      </c>
      <c r="I86" s="600">
        <f t="shared" si="50"/>
        <v>406.20000000000005</v>
      </c>
      <c r="J86" s="601">
        <f t="shared" si="27"/>
        <v>790.45</v>
      </c>
      <c r="K86" s="594">
        <f t="shared" si="28"/>
        <v>351.70000000000005</v>
      </c>
      <c r="L86" s="594">
        <f t="shared" si="51"/>
        <v>387.45000000000005</v>
      </c>
      <c r="M86" s="594">
        <f t="shared" si="52"/>
        <v>435.90000000000003</v>
      </c>
      <c r="N86" s="600">
        <f t="shared" si="53"/>
        <v>498.15000000000003</v>
      </c>
      <c r="O86" s="596">
        <f t="shared" si="32"/>
        <v>739.15000000000009</v>
      </c>
      <c r="P86" s="596">
        <f t="shared" si="33"/>
        <v>787.60000000000014</v>
      </c>
      <c r="Q86" s="601">
        <f t="shared" si="34"/>
        <v>849.85000000000014</v>
      </c>
      <c r="R86" s="594">
        <f t="shared" si="35"/>
        <v>1142.1500000000001</v>
      </c>
      <c r="S86" s="596">
        <f t="shared" si="36"/>
        <v>1529.6000000000001</v>
      </c>
      <c r="T86" s="596">
        <f t="shared" si="37"/>
        <v>1578.0500000000002</v>
      </c>
      <c r="U86" s="599">
        <f t="shared" si="38"/>
        <v>1640.3000000000002</v>
      </c>
      <c r="W86" s="34">
        <f t="shared" si="56"/>
        <v>10000</v>
      </c>
      <c r="X86" s="857">
        <f t="shared" si="57"/>
        <v>500</v>
      </c>
      <c r="Y86" s="528">
        <v>100</v>
      </c>
      <c r="AA86" s="531">
        <f t="shared" si="58"/>
        <v>31.499999999999996</v>
      </c>
      <c r="AB86" s="115">
        <f t="shared" si="59"/>
        <v>35.4375</v>
      </c>
      <c r="AC86" s="532">
        <f t="shared" si="60"/>
        <v>40.5</v>
      </c>
    </row>
    <row r="87" spans="1:29">
      <c r="A87" s="130">
        <f t="shared" si="44"/>
        <v>87</v>
      </c>
      <c r="B87" s="16"/>
      <c r="C87" s="617">
        <f t="shared" si="45"/>
        <v>230</v>
      </c>
      <c r="D87" s="12">
        <f t="shared" si="46"/>
        <v>308.4350806068565</v>
      </c>
      <c r="E87" s="12" t="s">
        <v>131</v>
      </c>
      <c r="F87" s="620">
        <f>MROUND(C87*((C87-INDEX(Aannames!$E$99:$E$105,MATCH(C87,Aannames!$E$99:$E$105,1)))/(INDEX(Aannames!$E$99:$E$105,MATCH(C87,Aannames!$E$99:$E$105,1)+1)-INDEX(Aannames!$E$99:$E$105,MATCH(C87,Aannames!$E$99:$E$105,1)))*INDEX(Aannames!$M$99:$M$105,MATCH(C87,Aannames!$E$99:$E$105,1)+1)
+(INDEX(Aannames!$E$99:$E$105,MATCH(C87,Aannames!$E$99:$E$105,1)+1)-C87)/(INDEX(Aannames!$E$99:$E$105,MATCH(C87,Aannames!$E$99:$E$105,1)+1)-INDEX(Aannames!$E$99:$E$105,MATCH(C87,Aannames!$E$99:$E$105,1)))*INDEX(Aannames!$M$99:$M$105,MATCH(C87,Aannames!$E$99:$E$105,1))),500)</f>
        <v>3597000</v>
      </c>
      <c r="G87" s="594">
        <f t="shared" si="48"/>
        <v>323.75</v>
      </c>
      <c r="H87" s="594">
        <f t="shared" si="49"/>
        <v>69.25</v>
      </c>
      <c r="I87" s="600">
        <f t="shared" si="50"/>
        <v>415.45000000000005</v>
      </c>
      <c r="J87" s="601">
        <f t="shared" si="27"/>
        <v>808.45</v>
      </c>
      <c r="K87" s="594">
        <f t="shared" si="28"/>
        <v>359.70000000000005</v>
      </c>
      <c r="L87" s="594">
        <f t="shared" si="51"/>
        <v>396.05</v>
      </c>
      <c r="M87" s="594">
        <f t="shared" si="52"/>
        <v>445.55</v>
      </c>
      <c r="N87" s="600">
        <f t="shared" si="53"/>
        <v>509.20000000000005</v>
      </c>
      <c r="O87" s="596">
        <f t="shared" si="32"/>
        <v>755.75</v>
      </c>
      <c r="P87" s="596">
        <f t="shared" si="33"/>
        <v>805.25</v>
      </c>
      <c r="Q87" s="601">
        <f t="shared" si="34"/>
        <v>868.90000000000009</v>
      </c>
      <c r="R87" s="594">
        <f t="shared" si="35"/>
        <v>1168.1500000000001</v>
      </c>
      <c r="S87" s="596">
        <f t="shared" si="36"/>
        <v>1564.2</v>
      </c>
      <c r="T87" s="596">
        <f t="shared" si="37"/>
        <v>1613.7</v>
      </c>
      <c r="U87" s="599">
        <f t="shared" si="38"/>
        <v>1677.3500000000001</v>
      </c>
      <c r="W87" s="34">
        <f t="shared" si="56"/>
        <v>10000</v>
      </c>
      <c r="X87" s="857">
        <f t="shared" si="57"/>
        <v>500</v>
      </c>
      <c r="Y87" s="528">
        <v>100</v>
      </c>
      <c r="AA87" s="531">
        <f t="shared" si="58"/>
        <v>32.199999999999996</v>
      </c>
      <c r="AB87" s="115">
        <f t="shared" si="59"/>
        <v>36.225000000000001</v>
      </c>
      <c r="AC87" s="532">
        <f t="shared" si="60"/>
        <v>41.4</v>
      </c>
    </row>
    <row r="88" spans="1:29">
      <c r="A88" s="130">
        <f t="shared" si="44"/>
        <v>88</v>
      </c>
      <c r="B88" s="16"/>
      <c r="C88" s="617">
        <f t="shared" si="45"/>
        <v>235</v>
      </c>
      <c r="D88" s="12">
        <f t="shared" si="46"/>
        <v>315.14019105483163</v>
      </c>
      <c r="E88" s="12" t="s">
        <v>131</v>
      </c>
      <c r="F88" s="620">
        <f>MROUND(C88*((C88-INDEX(Aannames!$E$99:$E$105,MATCH(C88,Aannames!$E$99:$E$105,1)))/(INDEX(Aannames!$E$99:$E$105,MATCH(C88,Aannames!$E$99:$E$105,1)+1)-INDEX(Aannames!$E$99:$E$105,MATCH(C88,Aannames!$E$99:$E$105,1)))*INDEX(Aannames!$M$99:$M$105,MATCH(C88,Aannames!$E$99:$E$105,1)+1)
+(INDEX(Aannames!$E$99:$E$105,MATCH(C88,Aannames!$E$99:$E$105,1)+1)-C88)/(INDEX(Aannames!$E$99:$E$105,MATCH(C88,Aannames!$E$99:$E$105,1)+1)-INDEX(Aannames!$E$99:$E$105,MATCH(C88,Aannames!$E$99:$E$105,1)))*INDEX(Aannames!$M$99:$M$105,MATCH(C88,Aannames!$E$99:$E$105,1))),500)</f>
        <v>3678000</v>
      </c>
      <c r="G88" s="594">
        <f t="shared" si="48"/>
        <v>331</v>
      </c>
      <c r="H88" s="594">
        <f t="shared" si="49"/>
        <v>70.8</v>
      </c>
      <c r="I88" s="600">
        <f t="shared" si="50"/>
        <v>424.8</v>
      </c>
      <c r="J88" s="601">
        <f t="shared" si="27"/>
        <v>826.6</v>
      </c>
      <c r="K88" s="594">
        <f t="shared" si="28"/>
        <v>367.8</v>
      </c>
      <c r="L88" s="594">
        <f t="shared" si="51"/>
        <v>404.65000000000003</v>
      </c>
      <c r="M88" s="594">
        <f t="shared" si="52"/>
        <v>455.25</v>
      </c>
      <c r="N88" s="600">
        <f t="shared" si="53"/>
        <v>520.30000000000007</v>
      </c>
      <c r="O88" s="596">
        <f t="shared" si="32"/>
        <v>772.45</v>
      </c>
      <c r="P88" s="596">
        <f t="shared" si="33"/>
        <v>823.05</v>
      </c>
      <c r="Q88" s="601">
        <f t="shared" si="34"/>
        <v>888.10000000000014</v>
      </c>
      <c r="R88" s="594">
        <f t="shared" si="35"/>
        <v>1194.4000000000001</v>
      </c>
      <c r="S88" s="596">
        <f t="shared" si="36"/>
        <v>1599.0500000000002</v>
      </c>
      <c r="T88" s="596">
        <f t="shared" si="37"/>
        <v>1649.65</v>
      </c>
      <c r="U88" s="599">
        <f t="shared" si="38"/>
        <v>1714.7000000000003</v>
      </c>
      <c r="W88" s="34">
        <f t="shared" si="56"/>
        <v>10000</v>
      </c>
      <c r="X88" s="857">
        <f t="shared" si="57"/>
        <v>500</v>
      </c>
      <c r="Y88" s="528">
        <v>100</v>
      </c>
      <c r="AA88" s="531">
        <f t="shared" si="58"/>
        <v>32.9</v>
      </c>
      <c r="AB88" s="115">
        <f t="shared" si="59"/>
        <v>37.012500000000003</v>
      </c>
      <c r="AC88" s="532">
        <f t="shared" si="60"/>
        <v>42.3</v>
      </c>
    </row>
    <row r="89" spans="1:29">
      <c r="A89" s="130">
        <f t="shared" si="44"/>
        <v>89</v>
      </c>
      <c r="B89" s="16"/>
      <c r="C89" s="617">
        <f t="shared" si="45"/>
        <v>240</v>
      </c>
      <c r="D89" s="12">
        <f t="shared" si="46"/>
        <v>321.84530150280676</v>
      </c>
      <c r="E89" s="12" t="s">
        <v>131</v>
      </c>
      <c r="F89" s="620">
        <f>MROUND(C89*((C89-INDEX(Aannames!$E$99:$E$105,MATCH(C89,Aannames!$E$99:$E$105,1)))/(INDEX(Aannames!$E$99:$E$105,MATCH(C89,Aannames!$E$99:$E$105,1)+1)-INDEX(Aannames!$E$99:$E$105,MATCH(C89,Aannames!$E$99:$E$105,1)))*INDEX(Aannames!$M$99:$M$105,MATCH(C89,Aannames!$E$99:$E$105,1)+1)
+(INDEX(Aannames!$E$99:$E$105,MATCH(C89,Aannames!$E$99:$E$105,1)+1)-C89)/(INDEX(Aannames!$E$99:$E$105,MATCH(C89,Aannames!$E$99:$E$105,1)+1)-INDEX(Aannames!$E$99:$E$105,MATCH(C89,Aannames!$E$99:$E$105,1)))*INDEX(Aannames!$M$99:$M$105,MATCH(C89,Aannames!$E$99:$E$105,1))),500)</f>
        <v>3758500</v>
      </c>
      <c r="G89" s="594">
        <f t="shared" si="48"/>
        <v>338.25</v>
      </c>
      <c r="H89" s="594">
        <f t="shared" si="49"/>
        <v>72.350000000000009</v>
      </c>
      <c r="I89" s="600">
        <f t="shared" si="50"/>
        <v>434.1</v>
      </c>
      <c r="J89" s="601">
        <f t="shared" si="27"/>
        <v>844.7</v>
      </c>
      <c r="K89" s="594">
        <f t="shared" si="28"/>
        <v>375.85</v>
      </c>
      <c r="L89" s="594">
        <f t="shared" si="51"/>
        <v>413.3</v>
      </c>
      <c r="M89" s="594">
        <f t="shared" si="52"/>
        <v>464.95000000000005</v>
      </c>
      <c r="N89" s="600">
        <f t="shared" si="53"/>
        <v>531.35</v>
      </c>
      <c r="O89" s="596">
        <f t="shared" si="32"/>
        <v>789.15000000000009</v>
      </c>
      <c r="P89" s="596">
        <f t="shared" si="33"/>
        <v>840.80000000000007</v>
      </c>
      <c r="Q89" s="601">
        <f t="shared" si="34"/>
        <v>907.2</v>
      </c>
      <c r="R89" s="594">
        <f t="shared" si="35"/>
        <v>1220.5500000000002</v>
      </c>
      <c r="S89" s="596">
        <f t="shared" si="36"/>
        <v>1633.8500000000001</v>
      </c>
      <c r="T89" s="596">
        <f t="shared" si="37"/>
        <v>1685.5</v>
      </c>
      <c r="U89" s="599">
        <f t="shared" si="38"/>
        <v>1751.9</v>
      </c>
      <c r="W89" s="34">
        <f t="shared" si="56"/>
        <v>10000</v>
      </c>
      <c r="X89" s="857">
        <f t="shared" si="57"/>
        <v>500</v>
      </c>
      <c r="Y89" s="528">
        <v>100</v>
      </c>
      <c r="AA89" s="531">
        <f t="shared" si="58"/>
        <v>33.599999999999994</v>
      </c>
      <c r="AB89" s="115">
        <f t="shared" si="59"/>
        <v>37.799999999999997</v>
      </c>
      <c r="AC89" s="532">
        <f t="shared" si="60"/>
        <v>43.199999999999996</v>
      </c>
    </row>
    <row r="90" spans="1:29">
      <c r="A90" s="130">
        <f t="shared" si="44"/>
        <v>90</v>
      </c>
      <c r="B90" s="16"/>
      <c r="C90" s="617">
        <f t="shared" si="45"/>
        <v>245</v>
      </c>
      <c r="D90" s="12">
        <f t="shared" si="46"/>
        <v>328.55041195078189</v>
      </c>
      <c r="E90" s="12" t="s">
        <v>131</v>
      </c>
      <c r="F90" s="620">
        <f>MROUND(C90*((C90-INDEX(Aannames!$E$99:$E$105,MATCH(C90,Aannames!$E$99:$E$105,1)))/(INDEX(Aannames!$E$99:$E$105,MATCH(C90,Aannames!$E$99:$E$105,1)+1)-INDEX(Aannames!$E$99:$E$105,MATCH(C90,Aannames!$E$99:$E$105,1)))*INDEX(Aannames!$M$99:$M$105,MATCH(C90,Aannames!$E$99:$E$105,1)+1)
+(INDEX(Aannames!$E$99:$E$105,MATCH(C90,Aannames!$E$99:$E$105,1)+1)-C90)/(INDEX(Aannames!$E$99:$E$105,MATCH(C90,Aannames!$E$99:$E$105,1)+1)-INDEX(Aannames!$E$99:$E$105,MATCH(C90,Aannames!$E$99:$E$105,1)))*INDEX(Aannames!$M$99:$M$105,MATCH(C90,Aannames!$E$99:$E$105,1))),500)</f>
        <v>3843500</v>
      </c>
      <c r="G90" s="594">
        <f t="shared" si="48"/>
        <v>345.90000000000003</v>
      </c>
      <c r="H90" s="594">
        <f t="shared" si="49"/>
        <v>74</v>
      </c>
      <c r="I90" s="600">
        <f t="shared" si="50"/>
        <v>443.90000000000003</v>
      </c>
      <c r="J90" s="601">
        <f t="shared" si="27"/>
        <v>863.80000000000007</v>
      </c>
      <c r="K90" s="594">
        <f t="shared" si="28"/>
        <v>384.35</v>
      </c>
      <c r="L90" s="594">
        <f t="shared" si="51"/>
        <v>421.90000000000003</v>
      </c>
      <c r="M90" s="594">
        <f t="shared" si="52"/>
        <v>474.65000000000003</v>
      </c>
      <c r="N90" s="600">
        <f t="shared" si="53"/>
        <v>542.45000000000005</v>
      </c>
      <c r="O90" s="596">
        <f t="shared" si="32"/>
        <v>806.25</v>
      </c>
      <c r="P90" s="596">
        <f t="shared" si="33"/>
        <v>859</v>
      </c>
      <c r="Q90" s="601">
        <f t="shared" si="34"/>
        <v>926.80000000000007</v>
      </c>
      <c r="R90" s="594">
        <f t="shared" si="35"/>
        <v>1248.1500000000001</v>
      </c>
      <c r="S90" s="596">
        <f t="shared" si="36"/>
        <v>1670.0500000000002</v>
      </c>
      <c r="T90" s="596">
        <f t="shared" si="37"/>
        <v>1722.8000000000002</v>
      </c>
      <c r="U90" s="599">
        <f t="shared" si="38"/>
        <v>1790.6000000000001</v>
      </c>
      <c r="W90" s="34">
        <f t="shared" si="56"/>
        <v>10000</v>
      </c>
      <c r="X90" s="857">
        <f t="shared" si="57"/>
        <v>500</v>
      </c>
      <c r="Y90" s="528">
        <v>100</v>
      </c>
      <c r="AA90" s="531">
        <f t="shared" si="58"/>
        <v>34.299999999999997</v>
      </c>
      <c r="AB90" s="115">
        <f t="shared" si="59"/>
        <v>38.587499999999999</v>
      </c>
      <c r="AC90" s="532">
        <f t="shared" si="60"/>
        <v>44.1</v>
      </c>
    </row>
    <row r="91" spans="1:29">
      <c r="A91" s="130">
        <f t="shared" si="44"/>
        <v>91</v>
      </c>
      <c r="B91" s="16"/>
      <c r="C91" s="617">
        <f t="shared" si="45"/>
        <v>250</v>
      </c>
      <c r="D91" s="12">
        <f t="shared" si="46"/>
        <v>335.25552239875708</v>
      </c>
      <c r="E91" s="12" t="s">
        <v>131</v>
      </c>
      <c r="F91" s="620">
        <f>MROUND(C91*((C91-INDEX(Aannames!$E$99:$E$105,MATCH(C91,Aannames!$E$99:$E$105,1)))/(INDEX(Aannames!$E$99:$E$105,MATCH(C91,Aannames!$E$99:$E$105,1)+1)-INDEX(Aannames!$E$99:$E$105,MATCH(C91,Aannames!$E$99:$E$105,1)))*INDEX(Aannames!$M$99:$M$105,MATCH(C91,Aannames!$E$99:$E$105,1)+1)
+(INDEX(Aannames!$E$99:$E$105,MATCH(C91,Aannames!$E$99:$E$105,1)+1)-C91)/(INDEX(Aannames!$E$99:$E$105,MATCH(C91,Aannames!$E$99:$E$105,1)+1)-INDEX(Aannames!$E$99:$E$105,MATCH(C91,Aannames!$E$99:$E$105,1)))*INDEX(Aannames!$M$99:$M$105,MATCH(C91,Aannames!$E$99:$E$105,1))),500)</f>
        <v>3929000</v>
      </c>
      <c r="G91" s="594">
        <f t="shared" si="48"/>
        <v>353.6</v>
      </c>
      <c r="H91" s="594">
        <f t="shared" si="49"/>
        <v>75.650000000000006</v>
      </c>
      <c r="I91" s="600">
        <f t="shared" si="50"/>
        <v>453.8</v>
      </c>
      <c r="J91" s="601">
        <f t="shared" si="27"/>
        <v>883.05</v>
      </c>
      <c r="K91" s="594">
        <f t="shared" si="28"/>
        <v>392.90000000000003</v>
      </c>
      <c r="L91" s="594">
        <f t="shared" si="51"/>
        <v>430.5</v>
      </c>
      <c r="M91" s="594">
        <f t="shared" si="52"/>
        <v>484.3</v>
      </c>
      <c r="N91" s="600">
        <f t="shared" si="53"/>
        <v>553.5</v>
      </c>
      <c r="O91" s="596">
        <f t="shared" si="32"/>
        <v>823.40000000000009</v>
      </c>
      <c r="P91" s="596">
        <f t="shared" si="33"/>
        <v>877.2</v>
      </c>
      <c r="Q91" s="601">
        <f t="shared" si="34"/>
        <v>946.40000000000009</v>
      </c>
      <c r="R91" s="594">
        <f t="shared" si="35"/>
        <v>1275.95</v>
      </c>
      <c r="S91" s="596">
        <f t="shared" si="36"/>
        <v>1706.45</v>
      </c>
      <c r="T91" s="596">
        <f t="shared" si="37"/>
        <v>1760.25</v>
      </c>
      <c r="U91" s="599">
        <f t="shared" si="38"/>
        <v>1829.45</v>
      </c>
      <c r="W91" s="34">
        <f t="shared" si="56"/>
        <v>10000</v>
      </c>
      <c r="X91" s="857">
        <f t="shared" si="57"/>
        <v>500</v>
      </c>
      <c r="Y91" s="528">
        <v>100</v>
      </c>
      <c r="AA91" s="531">
        <f t="shared" si="58"/>
        <v>34.999999999999993</v>
      </c>
      <c r="AB91" s="115">
        <f t="shared" si="59"/>
        <v>39.375</v>
      </c>
      <c r="AC91" s="532">
        <f t="shared" si="60"/>
        <v>45</v>
      </c>
    </row>
    <row r="92" spans="1:29">
      <c r="A92" s="130">
        <f t="shared" si="44"/>
        <v>92</v>
      </c>
      <c r="B92" s="16"/>
      <c r="C92" s="617">
        <f t="shared" si="45"/>
        <v>255</v>
      </c>
      <c r="D92" s="12">
        <f t="shared" si="46"/>
        <v>341.96063284673221</v>
      </c>
      <c r="E92" s="12" t="s">
        <v>131</v>
      </c>
      <c r="F92" s="620">
        <f>MROUND(C92*((C92-INDEX(Aannames!$E$99:$E$105,MATCH(C92,Aannames!$E$99:$E$105,1)))/(INDEX(Aannames!$E$99:$E$105,MATCH(C92,Aannames!$E$99:$E$105,1)+1)-INDEX(Aannames!$E$99:$E$105,MATCH(C92,Aannames!$E$99:$E$105,1)))*INDEX(Aannames!$M$99:$M$105,MATCH(C92,Aannames!$E$99:$E$105,1)+1)
+(INDEX(Aannames!$E$99:$E$105,MATCH(C92,Aannames!$E$99:$E$105,1)+1)-C92)/(INDEX(Aannames!$E$99:$E$105,MATCH(C92,Aannames!$E$99:$E$105,1)+1)-INDEX(Aannames!$E$99:$E$105,MATCH(C92,Aannames!$E$99:$E$105,1)))*INDEX(Aannames!$M$99:$M$105,MATCH(C92,Aannames!$E$99:$E$105,1))),500)</f>
        <v>4015000</v>
      </c>
      <c r="G92" s="594">
        <f t="shared" si="48"/>
        <v>361.35</v>
      </c>
      <c r="H92" s="594">
        <f t="shared" si="49"/>
        <v>77.300000000000011</v>
      </c>
      <c r="I92" s="600">
        <f t="shared" si="50"/>
        <v>463.75</v>
      </c>
      <c r="J92" s="601">
        <f t="shared" si="27"/>
        <v>902.40000000000009</v>
      </c>
      <c r="K92" s="594">
        <f t="shared" si="28"/>
        <v>401.5</v>
      </c>
      <c r="L92" s="594">
        <f t="shared" si="51"/>
        <v>439.1</v>
      </c>
      <c r="M92" s="594">
        <f t="shared" si="52"/>
        <v>494</v>
      </c>
      <c r="N92" s="600">
        <f t="shared" si="53"/>
        <v>564.55000000000007</v>
      </c>
      <c r="O92" s="596">
        <f t="shared" si="32"/>
        <v>840.6</v>
      </c>
      <c r="P92" s="596">
        <f t="shared" si="33"/>
        <v>895.5</v>
      </c>
      <c r="Q92" s="601">
        <f t="shared" si="34"/>
        <v>966.05000000000007</v>
      </c>
      <c r="R92" s="594">
        <f t="shared" si="35"/>
        <v>1303.9000000000001</v>
      </c>
      <c r="S92" s="596">
        <f t="shared" si="36"/>
        <v>1743</v>
      </c>
      <c r="T92" s="596">
        <f t="shared" si="37"/>
        <v>1797.9</v>
      </c>
      <c r="U92" s="599">
        <f t="shared" si="38"/>
        <v>1868.4500000000003</v>
      </c>
      <c r="W92" s="34">
        <f t="shared" si="56"/>
        <v>10000</v>
      </c>
      <c r="X92" s="857">
        <f t="shared" si="57"/>
        <v>500</v>
      </c>
      <c r="Y92" s="528">
        <v>100</v>
      </c>
      <c r="AA92" s="531">
        <f t="shared" si="58"/>
        <v>35.699999999999996</v>
      </c>
      <c r="AB92" s="115">
        <f t="shared" si="59"/>
        <v>40.162500000000001</v>
      </c>
      <c r="AC92" s="532">
        <f t="shared" si="60"/>
        <v>45.9</v>
      </c>
    </row>
    <row r="93" spans="1:29">
      <c r="A93" s="130">
        <f t="shared" si="44"/>
        <v>93</v>
      </c>
      <c r="B93" s="16"/>
      <c r="C93" s="617">
        <f t="shared" si="45"/>
        <v>260</v>
      </c>
      <c r="D93" s="12">
        <f t="shared" si="46"/>
        <v>348.66574329470734</v>
      </c>
      <c r="E93" s="12" t="s">
        <v>131</v>
      </c>
      <c r="F93" s="620">
        <f>MROUND(C93*((C93-INDEX(Aannames!$E$99:$E$105,MATCH(C93,Aannames!$E$99:$E$105,1)))/(INDEX(Aannames!$E$99:$E$105,MATCH(C93,Aannames!$E$99:$E$105,1)+1)-INDEX(Aannames!$E$99:$E$105,MATCH(C93,Aannames!$E$99:$E$105,1)))*INDEX(Aannames!$M$99:$M$105,MATCH(C93,Aannames!$E$99:$E$105,1)+1)
+(INDEX(Aannames!$E$99:$E$105,MATCH(C93,Aannames!$E$99:$E$105,1)+1)-C93)/(INDEX(Aannames!$E$99:$E$105,MATCH(C93,Aannames!$E$99:$E$105,1)+1)-INDEX(Aannames!$E$99:$E$105,MATCH(C93,Aannames!$E$99:$E$105,1)))*INDEX(Aannames!$M$99:$M$105,MATCH(C93,Aannames!$E$99:$E$105,1))),500)</f>
        <v>4101000</v>
      </c>
      <c r="G93" s="594">
        <f t="shared" si="48"/>
        <v>369.1</v>
      </c>
      <c r="H93" s="594">
        <f t="shared" si="49"/>
        <v>78.95</v>
      </c>
      <c r="I93" s="600">
        <f t="shared" si="50"/>
        <v>473.65000000000003</v>
      </c>
      <c r="J93" s="601">
        <f t="shared" si="27"/>
        <v>921.7</v>
      </c>
      <c r="K93" s="594">
        <f t="shared" si="28"/>
        <v>410.1</v>
      </c>
      <c r="L93" s="594">
        <f t="shared" si="51"/>
        <v>447.70000000000005</v>
      </c>
      <c r="M93" s="594">
        <f t="shared" si="52"/>
        <v>503.70000000000005</v>
      </c>
      <c r="N93" s="600">
        <f t="shared" si="53"/>
        <v>575.65</v>
      </c>
      <c r="O93" s="596">
        <f t="shared" si="32"/>
        <v>857.80000000000007</v>
      </c>
      <c r="P93" s="596">
        <f t="shared" si="33"/>
        <v>913.80000000000007</v>
      </c>
      <c r="Q93" s="601">
        <f t="shared" si="34"/>
        <v>985.75</v>
      </c>
      <c r="R93" s="594">
        <f t="shared" si="35"/>
        <v>1331.8000000000002</v>
      </c>
      <c r="S93" s="596">
        <f t="shared" si="36"/>
        <v>1779.5</v>
      </c>
      <c r="T93" s="596">
        <f t="shared" si="37"/>
        <v>1835.5</v>
      </c>
      <c r="U93" s="599">
        <f t="shared" si="38"/>
        <v>1907.45</v>
      </c>
      <c r="W93" s="34">
        <f t="shared" si="56"/>
        <v>10000</v>
      </c>
      <c r="X93" s="857">
        <f t="shared" si="57"/>
        <v>500</v>
      </c>
      <c r="Y93" s="528">
        <v>100</v>
      </c>
      <c r="AA93" s="531">
        <f t="shared" si="58"/>
        <v>36.4</v>
      </c>
      <c r="AB93" s="115">
        <f t="shared" si="59"/>
        <v>40.950000000000003</v>
      </c>
      <c r="AC93" s="532">
        <f t="shared" si="60"/>
        <v>46.8</v>
      </c>
    </row>
    <row r="94" spans="1:29">
      <c r="A94" s="130">
        <f t="shared" si="44"/>
        <v>94</v>
      </c>
      <c r="B94" s="16"/>
      <c r="C94" s="617">
        <f t="shared" si="45"/>
        <v>265</v>
      </c>
      <c r="D94" s="12">
        <f t="shared" si="46"/>
        <v>355.37085374268247</v>
      </c>
      <c r="E94" s="12" t="s">
        <v>131</v>
      </c>
      <c r="F94" s="620">
        <f>MROUND(C94*((C94-INDEX(Aannames!$E$99:$E$105,MATCH(C94,Aannames!$E$99:$E$105,1)))/(INDEX(Aannames!$E$99:$E$105,MATCH(C94,Aannames!$E$99:$E$105,1)+1)-INDEX(Aannames!$E$99:$E$105,MATCH(C94,Aannames!$E$99:$E$105,1)))*INDEX(Aannames!$M$99:$M$105,MATCH(C94,Aannames!$E$99:$E$105,1)+1)
+(INDEX(Aannames!$E$99:$E$105,MATCH(C94,Aannames!$E$99:$E$105,1)+1)-C94)/(INDEX(Aannames!$E$99:$E$105,MATCH(C94,Aannames!$E$99:$E$105,1)+1)-INDEX(Aannames!$E$99:$E$105,MATCH(C94,Aannames!$E$99:$E$105,1)))*INDEX(Aannames!$M$99:$M$105,MATCH(C94,Aannames!$E$99:$E$105,1))),500)</f>
        <v>4187500</v>
      </c>
      <c r="G94" s="594">
        <f t="shared" si="48"/>
        <v>376.90000000000003</v>
      </c>
      <c r="H94" s="594">
        <f t="shared" si="49"/>
        <v>80.600000000000009</v>
      </c>
      <c r="I94" s="600">
        <f t="shared" si="50"/>
        <v>483.65000000000003</v>
      </c>
      <c r="J94" s="601">
        <f t="shared" si="27"/>
        <v>941.15000000000009</v>
      </c>
      <c r="K94" s="594">
        <f t="shared" si="28"/>
        <v>418.75</v>
      </c>
      <c r="L94" s="594">
        <f t="shared" si="51"/>
        <v>456.35</v>
      </c>
      <c r="M94" s="594">
        <f t="shared" si="52"/>
        <v>513.35</v>
      </c>
      <c r="N94" s="600">
        <f t="shared" si="53"/>
        <v>586.70000000000005</v>
      </c>
      <c r="O94" s="596">
        <f t="shared" si="32"/>
        <v>875.1</v>
      </c>
      <c r="P94" s="596">
        <f t="shared" si="33"/>
        <v>932.1</v>
      </c>
      <c r="Q94" s="601">
        <f t="shared" si="34"/>
        <v>1005.45</v>
      </c>
      <c r="R94" s="594">
        <f t="shared" si="35"/>
        <v>1359.9</v>
      </c>
      <c r="S94" s="596">
        <f t="shared" si="36"/>
        <v>1816.25</v>
      </c>
      <c r="T94" s="596">
        <f t="shared" si="37"/>
        <v>1873.25</v>
      </c>
      <c r="U94" s="599">
        <f t="shared" si="38"/>
        <v>1946.6000000000001</v>
      </c>
      <c r="W94" s="34">
        <f t="shared" si="56"/>
        <v>10000</v>
      </c>
      <c r="X94" s="857">
        <f t="shared" si="57"/>
        <v>500</v>
      </c>
      <c r="Y94" s="528">
        <v>100</v>
      </c>
      <c r="AA94" s="531">
        <f t="shared" si="58"/>
        <v>37.099999999999994</v>
      </c>
      <c r="AB94" s="115">
        <f t="shared" si="59"/>
        <v>41.737499999999997</v>
      </c>
      <c r="AC94" s="532">
        <f t="shared" si="60"/>
        <v>47.699999999999996</v>
      </c>
    </row>
    <row r="95" spans="1:29">
      <c r="A95" s="130">
        <f t="shared" si="44"/>
        <v>95</v>
      </c>
      <c r="B95" s="16"/>
      <c r="C95" s="617">
        <f t="shared" si="45"/>
        <v>270</v>
      </c>
      <c r="D95" s="12">
        <f t="shared" si="46"/>
        <v>362.0759641906576</v>
      </c>
      <c r="E95" s="12" t="s">
        <v>131</v>
      </c>
      <c r="F95" s="620">
        <f>MROUND(C95*((C95-INDEX(Aannames!$E$99:$E$105,MATCH(C95,Aannames!$E$99:$E$105,1)))/(INDEX(Aannames!$E$99:$E$105,MATCH(C95,Aannames!$E$99:$E$105,1)+1)-INDEX(Aannames!$E$99:$E$105,MATCH(C95,Aannames!$E$99:$E$105,1)))*INDEX(Aannames!$M$99:$M$105,MATCH(C95,Aannames!$E$99:$E$105,1)+1)
+(INDEX(Aannames!$E$99:$E$105,MATCH(C95,Aannames!$E$99:$E$105,1)+1)-C95)/(INDEX(Aannames!$E$99:$E$105,MATCH(C95,Aannames!$E$99:$E$105,1)+1)-INDEX(Aannames!$E$99:$E$105,MATCH(C95,Aannames!$E$99:$E$105,1)))*INDEX(Aannames!$M$99:$M$105,MATCH(C95,Aannames!$E$99:$E$105,1))),500)</f>
        <v>4274000</v>
      </c>
      <c r="G95" s="594">
        <f t="shared" si="48"/>
        <v>384.65000000000003</v>
      </c>
      <c r="H95" s="594">
        <f t="shared" si="49"/>
        <v>82.25</v>
      </c>
      <c r="I95" s="600">
        <f t="shared" si="50"/>
        <v>493.65000000000003</v>
      </c>
      <c r="J95" s="601">
        <f t="shared" si="27"/>
        <v>960.55000000000007</v>
      </c>
      <c r="K95" s="594">
        <f t="shared" si="28"/>
        <v>427.40000000000003</v>
      </c>
      <c r="L95" s="594">
        <f t="shared" si="51"/>
        <v>464.95000000000005</v>
      </c>
      <c r="M95" s="594">
        <f t="shared" si="52"/>
        <v>523.05000000000007</v>
      </c>
      <c r="N95" s="600">
        <f t="shared" si="53"/>
        <v>597.80000000000007</v>
      </c>
      <c r="O95" s="596">
        <f t="shared" si="32"/>
        <v>892.35000000000014</v>
      </c>
      <c r="P95" s="596">
        <f t="shared" si="33"/>
        <v>950.45</v>
      </c>
      <c r="Q95" s="601">
        <f t="shared" si="34"/>
        <v>1025.2</v>
      </c>
      <c r="R95" s="594">
        <f t="shared" si="35"/>
        <v>1387.95</v>
      </c>
      <c r="S95" s="596">
        <f t="shared" si="36"/>
        <v>1852.9</v>
      </c>
      <c r="T95" s="596">
        <f t="shared" si="37"/>
        <v>1911</v>
      </c>
      <c r="U95" s="599">
        <f t="shared" si="38"/>
        <v>1985.75</v>
      </c>
      <c r="W95" s="34">
        <f t="shared" si="56"/>
        <v>10000</v>
      </c>
      <c r="X95" s="857">
        <f t="shared" si="57"/>
        <v>500</v>
      </c>
      <c r="Y95" s="528">
        <v>100</v>
      </c>
      <c r="AA95" s="531">
        <f t="shared" si="58"/>
        <v>37.799999999999997</v>
      </c>
      <c r="AB95" s="115">
        <f t="shared" si="59"/>
        <v>42.524999999999999</v>
      </c>
      <c r="AC95" s="532">
        <f t="shared" si="60"/>
        <v>48.6</v>
      </c>
    </row>
    <row r="96" spans="1:29">
      <c r="A96" s="130">
        <f t="shared" si="44"/>
        <v>96</v>
      </c>
      <c r="B96" s="16"/>
      <c r="C96" s="617">
        <f t="shared" si="45"/>
        <v>275</v>
      </c>
      <c r="D96" s="12">
        <f t="shared" si="46"/>
        <v>368.78107463863279</v>
      </c>
      <c r="E96" s="12" t="s">
        <v>131</v>
      </c>
      <c r="F96" s="620">
        <f>MROUND(C96*((C96-INDEX(Aannames!$E$99:$E$105,MATCH(C96,Aannames!$E$99:$E$105,1)))/(INDEX(Aannames!$E$99:$E$105,MATCH(C96,Aannames!$E$99:$E$105,1)+1)-INDEX(Aannames!$E$99:$E$105,MATCH(C96,Aannames!$E$99:$E$105,1)))*INDEX(Aannames!$M$99:$M$105,MATCH(C96,Aannames!$E$99:$E$105,1)+1)
+(INDEX(Aannames!$E$99:$E$105,MATCH(C96,Aannames!$E$99:$E$105,1)+1)-C96)/(INDEX(Aannames!$E$99:$E$105,MATCH(C96,Aannames!$E$99:$E$105,1)+1)-INDEX(Aannames!$E$99:$E$105,MATCH(C96,Aannames!$E$99:$E$105,1)))*INDEX(Aannames!$M$99:$M$105,MATCH(C96,Aannames!$E$99:$E$105,1))),500)</f>
        <v>4361000</v>
      </c>
      <c r="G96" s="594">
        <f t="shared" si="48"/>
        <v>392.5</v>
      </c>
      <c r="H96" s="594">
        <f t="shared" si="49"/>
        <v>83.95</v>
      </c>
      <c r="I96" s="600">
        <f t="shared" si="50"/>
        <v>503.70000000000005</v>
      </c>
      <c r="J96" s="601">
        <f t="shared" si="27"/>
        <v>980.15000000000009</v>
      </c>
      <c r="K96" s="594">
        <f t="shared" si="28"/>
        <v>436.1</v>
      </c>
      <c r="L96" s="594">
        <f t="shared" si="51"/>
        <v>473.55</v>
      </c>
      <c r="M96" s="594">
        <f t="shared" si="52"/>
        <v>532.75</v>
      </c>
      <c r="N96" s="600">
        <f t="shared" si="53"/>
        <v>608.85</v>
      </c>
      <c r="O96" s="596">
        <f t="shared" si="32"/>
        <v>909.65000000000009</v>
      </c>
      <c r="P96" s="596">
        <f t="shared" si="33"/>
        <v>968.85</v>
      </c>
      <c r="Q96" s="601">
        <f t="shared" si="34"/>
        <v>1044.95</v>
      </c>
      <c r="R96" s="594">
        <f t="shared" si="35"/>
        <v>1416.25</v>
      </c>
      <c r="S96" s="596">
        <f t="shared" si="36"/>
        <v>1889.8000000000002</v>
      </c>
      <c r="T96" s="596">
        <f t="shared" si="37"/>
        <v>1949</v>
      </c>
      <c r="U96" s="599">
        <f t="shared" si="38"/>
        <v>2025.1000000000001</v>
      </c>
      <c r="W96" s="34">
        <f t="shared" si="56"/>
        <v>10000</v>
      </c>
      <c r="X96" s="857">
        <f t="shared" si="57"/>
        <v>500</v>
      </c>
      <c r="Y96" s="528">
        <v>100</v>
      </c>
      <c r="AA96" s="531">
        <f t="shared" si="58"/>
        <v>38.499999999999993</v>
      </c>
      <c r="AB96" s="115">
        <f t="shared" si="59"/>
        <v>43.3125</v>
      </c>
      <c r="AC96" s="532">
        <f t="shared" si="60"/>
        <v>49.5</v>
      </c>
    </row>
    <row r="97" spans="1:29">
      <c r="A97" s="183">
        <f t="shared" si="44"/>
        <v>97</v>
      </c>
      <c r="B97" s="16"/>
      <c r="C97" s="617">
        <f t="shared" si="45"/>
        <v>280</v>
      </c>
      <c r="D97" s="12">
        <f t="shared" si="46"/>
        <v>375.48618508660792</v>
      </c>
      <c r="E97" s="12" t="s">
        <v>131</v>
      </c>
      <c r="F97" s="620">
        <f>MROUND(C97*((C97-INDEX(Aannames!$E$99:$E$105,MATCH(C97,Aannames!$E$99:$E$105,1)))/(INDEX(Aannames!$E$99:$E$105,MATCH(C97,Aannames!$E$99:$E$105,1)+1)-INDEX(Aannames!$E$99:$E$105,MATCH(C97,Aannames!$E$99:$E$105,1)))*INDEX(Aannames!$M$99:$M$105,MATCH(C97,Aannames!$E$99:$E$105,1)+1)
+(INDEX(Aannames!$E$99:$E$105,MATCH(C97,Aannames!$E$99:$E$105,1)+1)-C97)/(INDEX(Aannames!$E$99:$E$105,MATCH(C97,Aannames!$E$99:$E$105,1)+1)-INDEX(Aannames!$E$99:$E$105,MATCH(C97,Aannames!$E$99:$E$105,1)))*INDEX(Aannames!$M$99:$M$105,MATCH(C97,Aannames!$E$99:$E$105,1))),500)</f>
        <v>4448500</v>
      </c>
      <c r="G97" s="594">
        <f t="shared" si="48"/>
        <v>400.35</v>
      </c>
      <c r="H97" s="594">
        <f t="shared" si="49"/>
        <v>85.65</v>
      </c>
      <c r="I97" s="600">
        <f t="shared" si="50"/>
        <v>513.80000000000007</v>
      </c>
      <c r="J97" s="601">
        <f t="shared" si="27"/>
        <v>999.80000000000007</v>
      </c>
      <c r="K97" s="594">
        <f t="shared" si="28"/>
        <v>444.85</v>
      </c>
      <c r="L97" s="594">
        <f t="shared" si="51"/>
        <v>482.15000000000003</v>
      </c>
      <c r="M97" s="594">
        <f t="shared" si="52"/>
        <v>542.45000000000005</v>
      </c>
      <c r="N97" s="600">
        <f t="shared" si="53"/>
        <v>619.90000000000009</v>
      </c>
      <c r="O97" s="596">
        <f t="shared" si="32"/>
        <v>927</v>
      </c>
      <c r="P97" s="596">
        <f t="shared" si="33"/>
        <v>987.30000000000007</v>
      </c>
      <c r="Q97" s="601">
        <f t="shared" si="34"/>
        <v>1064.75</v>
      </c>
      <c r="R97" s="594">
        <f t="shared" si="35"/>
        <v>1444.65</v>
      </c>
      <c r="S97" s="596">
        <f t="shared" si="36"/>
        <v>1926.8000000000002</v>
      </c>
      <c r="T97" s="596">
        <f t="shared" si="37"/>
        <v>1987.1000000000001</v>
      </c>
      <c r="U97" s="599">
        <f t="shared" si="38"/>
        <v>2064.5500000000002</v>
      </c>
      <c r="W97" s="34">
        <f t="shared" si="56"/>
        <v>10000</v>
      </c>
      <c r="X97" s="857">
        <f t="shared" si="57"/>
        <v>500</v>
      </c>
      <c r="Y97" s="528">
        <v>100</v>
      </c>
      <c r="AA97" s="531">
        <f t="shared" si="58"/>
        <v>39.199999999999996</v>
      </c>
      <c r="AB97" s="115">
        <f t="shared" si="59"/>
        <v>44.1</v>
      </c>
      <c r="AC97" s="532">
        <f t="shared" si="60"/>
        <v>50.4</v>
      </c>
    </row>
    <row r="98" spans="1:29">
      <c r="A98" s="183">
        <f t="shared" si="44"/>
        <v>98</v>
      </c>
      <c r="B98" s="16"/>
      <c r="C98" s="617">
        <f t="shared" si="45"/>
        <v>285</v>
      </c>
      <c r="D98" s="12">
        <f t="shared" si="46"/>
        <v>382.19129553458305</v>
      </c>
      <c r="E98" s="12" t="s">
        <v>131</v>
      </c>
      <c r="F98" s="620">
        <f>MROUND(C98*((C98-INDEX(Aannames!$E$99:$E$105,MATCH(C98,Aannames!$E$99:$E$105,1)))/(INDEX(Aannames!$E$99:$E$105,MATCH(C98,Aannames!$E$99:$E$105,1)+1)-INDEX(Aannames!$E$99:$E$105,MATCH(C98,Aannames!$E$99:$E$105,1)))*INDEX(Aannames!$M$99:$M$105,MATCH(C98,Aannames!$E$99:$E$105,1)+1)
+(INDEX(Aannames!$E$99:$E$105,MATCH(C98,Aannames!$E$99:$E$105,1)+1)-C98)/(INDEX(Aannames!$E$99:$E$105,MATCH(C98,Aannames!$E$99:$E$105,1)+1)-INDEX(Aannames!$E$99:$E$105,MATCH(C98,Aannames!$E$99:$E$105,1)))*INDEX(Aannames!$M$99:$M$105,MATCH(C98,Aannames!$E$99:$E$105,1))),500)</f>
        <v>4536000</v>
      </c>
      <c r="G98" s="594">
        <f t="shared" si="48"/>
        <v>408.25</v>
      </c>
      <c r="H98" s="594">
        <f t="shared" si="49"/>
        <v>87.300000000000011</v>
      </c>
      <c r="I98" s="600">
        <f t="shared" si="50"/>
        <v>523.9</v>
      </c>
      <c r="J98" s="601">
        <f t="shared" si="27"/>
        <v>1019.45</v>
      </c>
      <c r="K98" s="594">
        <f t="shared" si="28"/>
        <v>453.6</v>
      </c>
      <c r="L98" s="594">
        <f t="shared" si="51"/>
        <v>490.75</v>
      </c>
      <c r="M98" s="594">
        <f t="shared" si="52"/>
        <v>552.1</v>
      </c>
      <c r="N98" s="600">
        <f t="shared" si="53"/>
        <v>631</v>
      </c>
      <c r="O98" s="596">
        <f t="shared" si="32"/>
        <v>944.35</v>
      </c>
      <c r="P98" s="596">
        <f t="shared" si="33"/>
        <v>1005.7</v>
      </c>
      <c r="Q98" s="601">
        <f t="shared" si="34"/>
        <v>1084.5999999999999</v>
      </c>
      <c r="R98" s="594">
        <f t="shared" si="35"/>
        <v>1473.0500000000002</v>
      </c>
      <c r="S98" s="596">
        <f t="shared" si="36"/>
        <v>1963.8000000000002</v>
      </c>
      <c r="T98" s="596">
        <f t="shared" si="37"/>
        <v>2025.15</v>
      </c>
      <c r="U98" s="599">
        <f t="shared" si="38"/>
        <v>2104.0500000000002</v>
      </c>
      <c r="W98" s="34">
        <f t="shared" si="56"/>
        <v>10000</v>
      </c>
      <c r="X98" s="857">
        <f t="shared" si="57"/>
        <v>500</v>
      </c>
      <c r="Y98" s="528">
        <v>100</v>
      </c>
      <c r="AA98" s="531">
        <f t="shared" si="58"/>
        <v>39.9</v>
      </c>
      <c r="AB98" s="115">
        <f t="shared" si="59"/>
        <v>44.887500000000003</v>
      </c>
      <c r="AC98" s="532">
        <f t="shared" si="60"/>
        <v>51.3</v>
      </c>
    </row>
    <row r="99" spans="1:29">
      <c r="A99" s="183">
        <f t="shared" si="44"/>
        <v>99</v>
      </c>
      <c r="B99" s="16"/>
      <c r="C99" s="617">
        <f t="shared" si="45"/>
        <v>290</v>
      </c>
      <c r="D99" s="12">
        <f t="shared" si="46"/>
        <v>388.89640598255818</v>
      </c>
      <c r="E99" s="12" t="s">
        <v>131</v>
      </c>
      <c r="F99" s="620">
        <f>MROUND(C99*((C99-INDEX(Aannames!$E$99:$E$105,MATCH(C99,Aannames!$E$99:$E$105,1)))/(INDEX(Aannames!$E$99:$E$105,MATCH(C99,Aannames!$E$99:$E$105,1)+1)-INDEX(Aannames!$E$99:$E$105,MATCH(C99,Aannames!$E$99:$E$105,1)))*INDEX(Aannames!$M$99:$M$105,MATCH(C99,Aannames!$E$99:$E$105,1)+1)
+(INDEX(Aannames!$E$99:$E$105,MATCH(C99,Aannames!$E$99:$E$105,1)+1)-C99)/(INDEX(Aannames!$E$99:$E$105,MATCH(C99,Aannames!$E$99:$E$105,1)+1)-INDEX(Aannames!$E$99:$E$105,MATCH(C99,Aannames!$E$99:$E$105,1)))*INDEX(Aannames!$M$99:$M$105,MATCH(C99,Aannames!$E$99:$E$105,1))),500)</f>
        <v>4623500</v>
      </c>
      <c r="G99" s="594">
        <f t="shared" si="48"/>
        <v>416.1</v>
      </c>
      <c r="H99" s="594">
        <f t="shared" si="49"/>
        <v>89</v>
      </c>
      <c r="I99" s="600">
        <f t="shared" si="50"/>
        <v>534</v>
      </c>
      <c r="J99" s="601">
        <f t="shared" si="27"/>
        <v>1039.0999999999999</v>
      </c>
      <c r="K99" s="594">
        <f t="shared" si="28"/>
        <v>462.35</v>
      </c>
      <c r="L99" s="594">
        <f t="shared" si="51"/>
        <v>499.40000000000003</v>
      </c>
      <c r="M99" s="594">
        <f t="shared" si="52"/>
        <v>561.80000000000007</v>
      </c>
      <c r="N99" s="600">
        <f t="shared" si="53"/>
        <v>642.05000000000007</v>
      </c>
      <c r="O99" s="596">
        <f t="shared" si="32"/>
        <v>961.75</v>
      </c>
      <c r="P99" s="596">
        <f t="shared" si="33"/>
        <v>1024.1500000000001</v>
      </c>
      <c r="Q99" s="601">
        <f t="shared" si="34"/>
        <v>1104.4000000000001</v>
      </c>
      <c r="R99" s="594">
        <f t="shared" si="35"/>
        <v>1501.4499999999998</v>
      </c>
      <c r="S99" s="596">
        <f t="shared" si="36"/>
        <v>2000.85</v>
      </c>
      <c r="T99" s="596">
        <f t="shared" si="37"/>
        <v>2063.25</v>
      </c>
      <c r="U99" s="599">
        <f t="shared" si="38"/>
        <v>2143.5</v>
      </c>
      <c r="W99" s="34">
        <f t="shared" si="56"/>
        <v>10000</v>
      </c>
      <c r="X99" s="857">
        <f t="shared" si="57"/>
        <v>500</v>
      </c>
      <c r="Y99" s="528">
        <v>100</v>
      </c>
      <c r="AA99" s="531">
        <f t="shared" si="58"/>
        <v>40.599999999999994</v>
      </c>
      <c r="AB99" s="115">
        <f t="shared" si="59"/>
        <v>45.674999999999997</v>
      </c>
      <c r="AC99" s="532">
        <f t="shared" si="60"/>
        <v>52.199999999999996</v>
      </c>
    </row>
    <row r="100" spans="1:29">
      <c r="A100" s="183">
        <f t="shared" si="44"/>
        <v>100</v>
      </c>
      <c r="B100" s="16"/>
      <c r="C100" s="617">
        <f t="shared" si="45"/>
        <v>295</v>
      </c>
      <c r="D100" s="12">
        <f t="shared" si="46"/>
        <v>395.60151643053331</v>
      </c>
      <c r="E100" s="12" t="s">
        <v>131</v>
      </c>
      <c r="F100" s="620">
        <f>MROUND(C100*((C100-INDEX(Aannames!$E$99:$E$105,MATCH(C100,Aannames!$E$99:$E$105,1)))/(INDEX(Aannames!$E$99:$E$105,MATCH(C100,Aannames!$E$99:$E$105,1)+1)-INDEX(Aannames!$E$99:$E$105,MATCH(C100,Aannames!$E$99:$E$105,1)))*INDEX(Aannames!$M$99:$M$105,MATCH(C100,Aannames!$E$99:$E$105,1)+1)
+(INDEX(Aannames!$E$99:$E$105,MATCH(C100,Aannames!$E$99:$E$105,1)+1)-C100)/(INDEX(Aannames!$E$99:$E$105,MATCH(C100,Aannames!$E$99:$E$105,1)+1)-INDEX(Aannames!$E$99:$E$105,MATCH(C100,Aannames!$E$99:$E$105,1)))*INDEX(Aannames!$M$99:$M$105,MATCH(C100,Aannames!$E$99:$E$105,1))),500)</f>
        <v>4711500</v>
      </c>
      <c r="G100" s="594">
        <f t="shared" si="48"/>
        <v>424.05</v>
      </c>
      <c r="H100" s="594">
        <f t="shared" si="49"/>
        <v>90.7</v>
      </c>
      <c r="I100" s="600">
        <f t="shared" si="50"/>
        <v>544.20000000000005</v>
      </c>
      <c r="J100" s="601">
        <f t="shared" si="27"/>
        <v>1058.95</v>
      </c>
      <c r="K100" s="594">
        <f t="shared" si="28"/>
        <v>471.15000000000003</v>
      </c>
      <c r="L100" s="594">
        <f t="shared" si="51"/>
        <v>508</v>
      </c>
      <c r="M100" s="594">
        <f t="shared" si="52"/>
        <v>571.5</v>
      </c>
      <c r="N100" s="600">
        <f t="shared" si="53"/>
        <v>653.15000000000009</v>
      </c>
      <c r="O100" s="596">
        <f t="shared" si="32"/>
        <v>979.15000000000009</v>
      </c>
      <c r="P100" s="596">
        <f t="shared" si="33"/>
        <v>1042.6500000000001</v>
      </c>
      <c r="Q100" s="601">
        <f t="shared" si="34"/>
        <v>1124.3000000000002</v>
      </c>
      <c r="R100" s="594">
        <f t="shared" si="35"/>
        <v>1530.1000000000001</v>
      </c>
      <c r="S100" s="596">
        <f t="shared" si="36"/>
        <v>2038.1000000000001</v>
      </c>
      <c r="T100" s="596">
        <f t="shared" si="37"/>
        <v>2101.6000000000004</v>
      </c>
      <c r="U100" s="599">
        <f t="shared" si="38"/>
        <v>2183.25</v>
      </c>
      <c r="W100" s="34">
        <f t="shared" si="56"/>
        <v>10000</v>
      </c>
      <c r="X100" s="857">
        <f t="shared" si="57"/>
        <v>500</v>
      </c>
      <c r="Y100" s="528">
        <v>100</v>
      </c>
      <c r="AA100" s="531">
        <f t="shared" si="58"/>
        <v>41.3</v>
      </c>
      <c r="AB100" s="115">
        <f t="shared" si="59"/>
        <v>46.462499999999999</v>
      </c>
      <c r="AC100" s="532">
        <f t="shared" si="60"/>
        <v>53.1</v>
      </c>
    </row>
    <row r="101" spans="1:29">
      <c r="A101" s="183">
        <f t="shared" si="44"/>
        <v>101</v>
      </c>
      <c r="B101" s="16"/>
      <c r="C101" s="617">
        <f t="shared" si="45"/>
        <v>300</v>
      </c>
      <c r="D101" s="12">
        <f t="shared" si="46"/>
        <v>402.30662687850844</v>
      </c>
      <c r="E101" s="12" t="s">
        <v>131</v>
      </c>
      <c r="F101" s="620">
        <f>MROUND(C101*((C101-INDEX(Aannames!$E$99:$E$105,MATCH(C101,Aannames!$E$99:$E$105,1)))/(INDEX(Aannames!$E$99:$E$105,MATCH(C101,Aannames!$E$99:$E$105,1)+1)-INDEX(Aannames!$E$99:$E$105,MATCH(C101,Aannames!$E$99:$E$105,1)))*INDEX(Aannames!$M$99:$M$105,MATCH(C101,Aannames!$E$99:$E$105,1)+1)
+(INDEX(Aannames!$E$99:$E$105,MATCH(C101,Aannames!$E$99:$E$105,1)+1)-C101)/(INDEX(Aannames!$E$99:$E$105,MATCH(C101,Aannames!$E$99:$E$105,1)+1)-INDEX(Aannames!$E$99:$E$105,MATCH(C101,Aannames!$E$99:$E$105,1)))*INDEX(Aannames!$M$99:$M$105,MATCH(C101,Aannames!$E$99:$E$105,1))),500)</f>
        <v>4800000</v>
      </c>
      <c r="G101" s="594">
        <f t="shared" si="48"/>
        <v>432</v>
      </c>
      <c r="H101" s="594">
        <f t="shared" si="49"/>
        <v>92.4</v>
      </c>
      <c r="I101" s="600">
        <f t="shared" si="50"/>
        <v>554.4</v>
      </c>
      <c r="J101" s="601">
        <f t="shared" si="27"/>
        <v>1078.8</v>
      </c>
      <c r="K101" s="594">
        <f t="shared" si="28"/>
        <v>480</v>
      </c>
      <c r="L101" s="594">
        <f t="shared" si="51"/>
        <v>516.6</v>
      </c>
      <c r="M101" s="594">
        <f t="shared" si="52"/>
        <v>581.20000000000005</v>
      </c>
      <c r="N101" s="600">
        <f t="shared" si="53"/>
        <v>664.2</v>
      </c>
      <c r="O101" s="596">
        <f t="shared" si="32"/>
        <v>996.6</v>
      </c>
      <c r="P101" s="596">
        <f t="shared" si="33"/>
        <v>1061.2</v>
      </c>
      <c r="Q101" s="601">
        <f t="shared" si="34"/>
        <v>1144.2</v>
      </c>
      <c r="R101" s="594">
        <f t="shared" si="35"/>
        <v>1558.8</v>
      </c>
      <c r="S101" s="596">
        <f t="shared" si="36"/>
        <v>2075.4</v>
      </c>
      <c r="T101" s="596">
        <f t="shared" si="37"/>
        <v>2140</v>
      </c>
      <c r="U101" s="599">
        <f t="shared" si="38"/>
        <v>2223</v>
      </c>
      <c r="W101" s="34">
        <f t="shared" si="56"/>
        <v>10000</v>
      </c>
      <c r="X101" s="857">
        <f t="shared" si="57"/>
        <v>500</v>
      </c>
      <c r="Y101" s="528">
        <v>100</v>
      </c>
      <c r="AA101" s="531">
        <f t="shared" si="58"/>
        <v>41.999999999999993</v>
      </c>
      <c r="AB101" s="115">
        <f t="shared" si="59"/>
        <v>47.25</v>
      </c>
      <c r="AC101" s="532">
        <f t="shared" si="60"/>
        <v>54</v>
      </c>
    </row>
    <row r="102" spans="1:29">
      <c r="A102" s="183">
        <f t="shared" si="44"/>
        <v>102</v>
      </c>
      <c r="B102" s="16"/>
      <c r="C102" s="617">
        <f>C101+20</f>
        <v>320</v>
      </c>
      <c r="D102" s="12">
        <f t="shared" si="46"/>
        <v>429.12706867040902</v>
      </c>
      <c r="E102" s="12" t="s">
        <v>131</v>
      </c>
      <c r="F102" s="620">
        <f>MROUND(C102*((C102-INDEX(Aannames!$E$99:$E$105,MATCH(C102,Aannames!$E$99:$E$105,1)))/(INDEX(Aannames!$E$99:$E$105,MATCH(C102,Aannames!$E$99:$E$105,1)+1)-INDEX(Aannames!$E$99:$E$105,MATCH(C102,Aannames!$E$99:$E$105,1)))*INDEX(Aannames!$M$99:$M$105,MATCH(C102,Aannames!$E$99:$E$105,1)+1)
+(INDEX(Aannames!$E$99:$E$105,MATCH(C102,Aannames!$E$99:$E$105,1)+1)-C102)/(INDEX(Aannames!$E$99:$E$105,MATCH(C102,Aannames!$E$99:$E$105,1)+1)-INDEX(Aannames!$E$99:$E$105,MATCH(C102,Aannames!$E$99:$E$105,1)))*INDEX(Aannames!$M$99:$M$105,MATCH(C102,Aannames!$E$99:$E$105,1))),500)</f>
        <v>5120000</v>
      </c>
      <c r="G102" s="594">
        <f t="shared" si="48"/>
        <v>460.8</v>
      </c>
      <c r="H102" s="594">
        <f t="shared" si="49"/>
        <v>98.550000000000011</v>
      </c>
      <c r="I102" s="600">
        <f t="shared" si="50"/>
        <v>591.35</v>
      </c>
      <c r="J102" s="601">
        <f t="shared" si="27"/>
        <v>1150.7</v>
      </c>
      <c r="K102" s="594">
        <f t="shared" si="28"/>
        <v>512</v>
      </c>
      <c r="L102" s="594">
        <f t="shared" si="51"/>
        <v>551.05000000000007</v>
      </c>
      <c r="M102" s="594">
        <f t="shared" si="52"/>
        <v>619.90000000000009</v>
      </c>
      <c r="N102" s="600">
        <f t="shared" si="53"/>
        <v>708.5</v>
      </c>
      <c r="O102" s="596">
        <f t="shared" si="32"/>
        <v>1063.0500000000002</v>
      </c>
      <c r="P102" s="596">
        <f t="shared" si="33"/>
        <v>1131.9000000000001</v>
      </c>
      <c r="Q102" s="601">
        <f t="shared" si="34"/>
        <v>1220.5</v>
      </c>
      <c r="R102" s="594">
        <f t="shared" si="35"/>
        <v>1662.7</v>
      </c>
      <c r="S102" s="596">
        <f t="shared" si="36"/>
        <v>2213.75</v>
      </c>
      <c r="T102" s="596">
        <f t="shared" si="37"/>
        <v>2282.6000000000004</v>
      </c>
      <c r="U102" s="599">
        <f t="shared" si="38"/>
        <v>2371.1999999999998</v>
      </c>
      <c r="W102" s="34">
        <f t="shared" si="56"/>
        <v>10000</v>
      </c>
      <c r="X102" s="857">
        <f t="shared" si="57"/>
        <v>500</v>
      </c>
      <c r="Y102" s="528">
        <v>100</v>
      </c>
      <c r="AA102" s="531">
        <f t="shared" si="58"/>
        <v>44.8</v>
      </c>
      <c r="AB102" s="115">
        <f t="shared" si="59"/>
        <v>50.4</v>
      </c>
      <c r="AC102" s="532">
        <f t="shared" si="60"/>
        <v>57.599999999999994</v>
      </c>
    </row>
    <row r="103" spans="1:29">
      <c r="A103" s="183">
        <f t="shared" si="44"/>
        <v>103</v>
      </c>
      <c r="B103" s="16"/>
      <c r="C103" s="617">
        <f t="shared" ref="C103:C116" si="61">C102+20</f>
        <v>340</v>
      </c>
      <c r="D103" s="12">
        <f t="shared" si="46"/>
        <v>455.94751046230959</v>
      </c>
      <c r="E103" s="12" t="s">
        <v>131</v>
      </c>
      <c r="F103" s="620">
        <f>MROUND(C103*((C103-INDEX(Aannames!$E$99:$E$105,MATCH(C103,Aannames!$E$99:$E$105,1)))/(INDEX(Aannames!$E$99:$E$105,MATCH(C103,Aannames!$E$99:$E$105,1)+1)-INDEX(Aannames!$E$99:$E$105,MATCH(C103,Aannames!$E$99:$E$105,1)))*INDEX(Aannames!$M$99:$M$105,MATCH(C103,Aannames!$E$99:$E$105,1)+1)
+(INDEX(Aannames!$E$99:$E$105,MATCH(C103,Aannames!$E$99:$E$105,1)+1)-C103)/(INDEX(Aannames!$E$99:$E$105,MATCH(C103,Aannames!$E$99:$E$105,1)+1)-INDEX(Aannames!$E$99:$E$105,MATCH(C103,Aannames!$E$99:$E$105,1)))*INDEX(Aannames!$M$99:$M$105,MATCH(C103,Aannames!$E$99:$E$105,1))),500)</f>
        <v>5440000</v>
      </c>
      <c r="G103" s="594">
        <f t="shared" si="48"/>
        <v>489.6</v>
      </c>
      <c r="H103" s="594">
        <f t="shared" si="49"/>
        <v>104.7</v>
      </c>
      <c r="I103" s="600">
        <f t="shared" si="50"/>
        <v>628.30000000000007</v>
      </c>
      <c r="J103" s="601">
        <f t="shared" si="27"/>
        <v>1222.6000000000001</v>
      </c>
      <c r="K103" s="594">
        <f t="shared" si="28"/>
        <v>544</v>
      </c>
      <c r="L103" s="594">
        <f t="shared" si="51"/>
        <v>585.5</v>
      </c>
      <c r="M103" s="594">
        <f t="shared" si="52"/>
        <v>658.65000000000009</v>
      </c>
      <c r="N103" s="600">
        <f t="shared" si="53"/>
        <v>752.75</v>
      </c>
      <c r="O103" s="596">
        <f t="shared" si="32"/>
        <v>1129.5</v>
      </c>
      <c r="P103" s="596">
        <f t="shared" si="33"/>
        <v>1202.6500000000001</v>
      </c>
      <c r="Q103" s="601">
        <f t="shared" si="34"/>
        <v>1296.75</v>
      </c>
      <c r="R103" s="594">
        <f t="shared" si="35"/>
        <v>1766.6000000000001</v>
      </c>
      <c r="S103" s="596">
        <f t="shared" si="36"/>
        <v>2352.1000000000004</v>
      </c>
      <c r="T103" s="596">
        <f t="shared" si="37"/>
        <v>2425.25</v>
      </c>
      <c r="U103" s="599">
        <f t="shared" si="38"/>
        <v>2519.3500000000004</v>
      </c>
      <c r="W103" s="34">
        <f t="shared" si="56"/>
        <v>10000</v>
      </c>
      <c r="X103" s="857">
        <f t="shared" si="57"/>
        <v>500</v>
      </c>
      <c r="Y103" s="528">
        <v>100</v>
      </c>
      <c r="AA103" s="531">
        <f t="shared" si="58"/>
        <v>47.599999999999994</v>
      </c>
      <c r="AB103" s="115">
        <f t="shared" si="59"/>
        <v>53.55</v>
      </c>
      <c r="AC103" s="532">
        <f t="shared" si="60"/>
        <v>61.199999999999996</v>
      </c>
    </row>
    <row r="104" spans="1:29">
      <c r="A104" s="183">
        <f t="shared" si="44"/>
        <v>104</v>
      </c>
      <c r="B104" s="16"/>
      <c r="C104" s="617">
        <f t="shared" si="61"/>
        <v>360</v>
      </c>
      <c r="D104" s="12">
        <f t="shared" si="46"/>
        <v>482.76795225421017</v>
      </c>
      <c r="E104" s="12" t="s">
        <v>131</v>
      </c>
      <c r="F104" s="620">
        <f>MROUND(C104*((C104-INDEX(Aannames!$E$99:$E$105,MATCH(C104,Aannames!$E$99:$E$105,1)))/(INDEX(Aannames!$E$99:$E$105,MATCH(C104,Aannames!$E$99:$E$105,1)+1)-INDEX(Aannames!$E$99:$E$105,MATCH(C104,Aannames!$E$99:$E$105,1)))*INDEX(Aannames!$M$99:$M$105,MATCH(C104,Aannames!$E$99:$E$105,1)+1)
+(INDEX(Aannames!$E$99:$E$105,MATCH(C104,Aannames!$E$99:$E$105,1)+1)-C104)/(INDEX(Aannames!$E$99:$E$105,MATCH(C104,Aannames!$E$99:$E$105,1)+1)-INDEX(Aannames!$E$99:$E$105,MATCH(C104,Aannames!$E$99:$E$105,1)))*INDEX(Aannames!$M$99:$M$105,MATCH(C104,Aannames!$E$99:$E$105,1))),500)</f>
        <v>5760000</v>
      </c>
      <c r="G104" s="594">
        <f t="shared" si="48"/>
        <v>518.4</v>
      </c>
      <c r="H104" s="594">
        <f t="shared" si="49"/>
        <v>110.9</v>
      </c>
      <c r="I104" s="600">
        <f t="shared" si="50"/>
        <v>665.30000000000007</v>
      </c>
      <c r="J104" s="601">
        <f t="shared" si="27"/>
        <v>1294.5999999999999</v>
      </c>
      <c r="K104" s="594">
        <f t="shared" si="28"/>
        <v>576</v>
      </c>
      <c r="L104" s="594">
        <f t="shared" si="51"/>
        <v>619.90000000000009</v>
      </c>
      <c r="M104" s="594">
        <f t="shared" si="52"/>
        <v>697.40000000000009</v>
      </c>
      <c r="N104" s="600">
        <f t="shared" si="53"/>
        <v>797.05000000000007</v>
      </c>
      <c r="O104" s="596">
        <f t="shared" si="32"/>
        <v>1195.9000000000001</v>
      </c>
      <c r="P104" s="596">
        <f t="shared" si="33"/>
        <v>1273.4000000000001</v>
      </c>
      <c r="Q104" s="601">
        <f t="shared" si="34"/>
        <v>1373.0500000000002</v>
      </c>
      <c r="R104" s="594">
        <f t="shared" si="35"/>
        <v>1870.6</v>
      </c>
      <c r="S104" s="596">
        <f t="shared" si="36"/>
        <v>2490.5</v>
      </c>
      <c r="T104" s="596">
        <f t="shared" si="37"/>
        <v>2568</v>
      </c>
      <c r="U104" s="599">
        <f t="shared" si="38"/>
        <v>2667.65</v>
      </c>
      <c r="W104" s="34">
        <f t="shared" si="56"/>
        <v>10000</v>
      </c>
      <c r="X104" s="857">
        <f t="shared" si="57"/>
        <v>500</v>
      </c>
      <c r="Y104" s="528">
        <v>100</v>
      </c>
      <c r="AA104" s="531">
        <f t="shared" si="58"/>
        <v>50.399999999999991</v>
      </c>
      <c r="AB104" s="115">
        <f t="shared" si="59"/>
        <v>56.7</v>
      </c>
      <c r="AC104" s="532">
        <f t="shared" si="60"/>
        <v>64.8</v>
      </c>
    </row>
    <row r="105" spans="1:29">
      <c r="A105" s="183">
        <f t="shared" si="44"/>
        <v>105</v>
      </c>
      <c r="B105" s="16"/>
      <c r="C105" s="617">
        <f t="shared" si="61"/>
        <v>380</v>
      </c>
      <c r="D105" s="12">
        <f t="shared" si="46"/>
        <v>509.58839404611075</v>
      </c>
      <c r="E105" s="12" t="s">
        <v>131</v>
      </c>
      <c r="F105" s="620">
        <f>MROUND(C105*((C105-INDEX(Aannames!$E$99:$E$105,MATCH(C105,Aannames!$E$99:$E$105,1)))/(INDEX(Aannames!$E$99:$E$105,MATCH(C105,Aannames!$E$99:$E$105,1)+1)-INDEX(Aannames!$E$99:$E$105,MATCH(C105,Aannames!$E$99:$E$105,1)))*INDEX(Aannames!$M$99:$M$105,MATCH(C105,Aannames!$E$99:$E$105,1)+1)
+(INDEX(Aannames!$E$99:$E$105,MATCH(C105,Aannames!$E$99:$E$105,1)+1)-C105)/(INDEX(Aannames!$E$99:$E$105,MATCH(C105,Aannames!$E$99:$E$105,1)+1)-INDEX(Aannames!$E$99:$E$105,MATCH(C105,Aannames!$E$99:$E$105,1)))*INDEX(Aannames!$M$99:$M$105,MATCH(C105,Aannames!$E$99:$E$105,1))),500)</f>
        <v>6080000</v>
      </c>
      <c r="G105" s="594">
        <f t="shared" si="48"/>
        <v>547.20000000000005</v>
      </c>
      <c r="H105" s="594">
        <f t="shared" si="49"/>
        <v>117.05000000000001</v>
      </c>
      <c r="I105" s="600">
        <f t="shared" si="50"/>
        <v>702.25</v>
      </c>
      <c r="J105" s="601">
        <f t="shared" si="27"/>
        <v>1366.5</v>
      </c>
      <c r="K105" s="594">
        <f t="shared" si="28"/>
        <v>608</v>
      </c>
      <c r="L105" s="594">
        <f t="shared" si="51"/>
        <v>654.35</v>
      </c>
      <c r="M105" s="594">
        <f t="shared" si="52"/>
        <v>736.15000000000009</v>
      </c>
      <c r="N105" s="600">
        <f t="shared" si="53"/>
        <v>841.30000000000007</v>
      </c>
      <c r="O105" s="596">
        <f t="shared" si="32"/>
        <v>1262.3499999999999</v>
      </c>
      <c r="P105" s="596">
        <f t="shared" si="33"/>
        <v>1344.15</v>
      </c>
      <c r="Q105" s="601">
        <f t="shared" si="34"/>
        <v>1449.3000000000002</v>
      </c>
      <c r="R105" s="594">
        <f t="shared" si="35"/>
        <v>1974.5</v>
      </c>
      <c r="S105" s="596">
        <f t="shared" si="36"/>
        <v>2628.85</v>
      </c>
      <c r="T105" s="596">
        <f t="shared" si="37"/>
        <v>2710.65</v>
      </c>
      <c r="U105" s="599">
        <f t="shared" si="38"/>
        <v>2815.8</v>
      </c>
      <c r="W105" s="34">
        <f t="shared" si="56"/>
        <v>10000</v>
      </c>
      <c r="X105" s="857">
        <f t="shared" si="57"/>
        <v>500</v>
      </c>
      <c r="Y105" s="528">
        <v>100</v>
      </c>
      <c r="AA105" s="531">
        <f t="shared" si="58"/>
        <v>53.199999999999996</v>
      </c>
      <c r="AB105" s="115">
        <f t="shared" si="59"/>
        <v>59.85</v>
      </c>
      <c r="AC105" s="532">
        <f t="shared" si="60"/>
        <v>68.399999999999991</v>
      </c>
    </row>
    <row r="106" spans="1:29">
      <c r="A106" s="183">
        <f t="shared" si="44"/>
        <v>106</v>
      </c>
      <c r="B106" s="16"/>
      <c r="C106" s="617">
        <f t="shared" si="61"/>
        <v>400</v>
      </c>
      <c r="D106" s="12">
        <f t="shared" si="46"/>
        <v>536.40883583801133</v>
      </c>
      <c r="E106" s="12" t="s">
        <v>131</v>
      </c>
      <c r="F106" s="620">
        <f>MROUND(C106*((C106-INDEX(Aannames!$E$99:$E$105,MATCH(C106,Aannames!$E$99:$E$105,1)))/(INDEX(Aannames!$E$99:$E$105,MATCH(C106,Aannames!$E$99:$E$105,1)+1)-INDEX(Aannames!$E$99:$E$105,MATCH(C106,Aannames!$E$99:$E$105,1)))*INDEX(Aannames!$M$99:$M$105,MATCH(C106,Aannames!$E$99:$E$105,1)+1)
+(INDEX(Aannames!$E$99:$E$105,MATCH(C106,Aannames!$E$99:$E$105,1)+1)-C106)/(INDEX(Aannames!$E$99:$E$105,MATCH(C106,Aannames!$E$99:$E$105,1)+1)-INDEX(Aannames!$E$99:$E$105,MATCH(C106,Aannames!$E$99:$E$105,1)))*INDEX(Aannames!$M$99:$M$105,MATCH(C106,Aannames!$E$99:$E$105,1))),500)</f>
        <v>6400000</v>
      </c>
      <c r="G106" s="594">
        <f t="shared" si="48"/>
        <v>576</v>
      </c>
      <c r="H106" s="594">
        <f t="shared" si="49"/>
        <v>123.2</v>
      </c>
      <c r="I106" s="600">
        <f t="shared" si="50"/>
        <v>739.2</v>
      </c>
      <c r="J106" s="601">
        <f t="shared" si="27"/>
        <v>1438.4</v>
      </c>
      <c r="K106" s="594">
        <f t="shared" si="28"/>
        <v>640</v>
      </c>
      <c r="L106" s="594">
        <f t="shared" si="51"/>
        <v>688.80000000000007</v>
      </c>
      <c r="M106" s="594">
        <f t="shared" si="52"/>
        <v>774.90000000000009</v>
      </c>
      <c r="N106" s="600">
        <f t="shared" si="53"/>
        <v>885.6</v>
      </c>
      <c r="O106" s="596">
        <f t="shared" si="32"/>
        <v>1328.8000000000002</v>
      </c>
      <c r="P106" s="596">
        <f t="shared" si="33"/>
        <v>1414.9</v>
      </c>
      <c r="Q106" s="601">
        <f t="shared" si="34"/>
        <v>1525.6</v>
      </c>
      <c r="R106" s="594">
        <f t="shared" si="35"/>
        <v>2078.4</v>
      </c>
      <c r="S106" s="596">
        <f t="shared" si="36"/>
        <v>2767.2000000000003</v>
      </c>
      <c r="T106" s="596">
        <f t="shared" si="37"/>
        <v>2853.3</v>
      </c>
      <c r="U106" s="599">
        <f t="shared" si="38"/>
        <v>2964</v>
      </c>
      <c r="W106" s="34">
        <f t="shared" si="56"/>
        <v>10000</v>
      </c>
      <c r="X106" s="857">
        <f t="shared" si="57"/>
        <v>500</v>
      </c>
      <c r="Y106" s="528">
        <v>100</v>
      </c>
      <c r="AA106" s="531">
        <f t="shared" si="58"/>
        <v>55.999999999999993</v>
      </c>
      <c r="AB106" s="115">
        <f t="shared" si="59"/>
        <v>63</v>
      </c>
      <c r="AC106" s="532">
        <f t="shared" si="60"/>
        <v>72</v>
      </c>
    </row>
    <row r="107" spans="1:29">
      <c r="A107" s="183">
        <f t="shared" si="44"/>
        <v>107</v>
      </c>
      <c r="B107" s="16"/>
      <c r="C107" s="617">
        <f t="shared" si="61"/>
        <v>420</v>
      </c>
      <c r="D107" s="12">
        <f t="shared" ref="D107:D116" si="62">C107*PKperKW</f>
        <v>563.22927762991185</v>
      </c>
      <c r="E107" s="12" t="s">
        <v>131</v>
      </c>
      <c r="F107" s="620">
        <f>MROUND(C107*((C107-INDEX(Aannames!$E$99:$E$105,MATCH(C107,Aannames!$E$99:$E$105,1)))/(INDEX(Aannames!$E$99:$E$105,MATCH(C107,Aannames!$E$99:$E$105,1)+1)-INDEX(Aannames!$E$99:$E$105,MATCH(C107,Aannames!$E$99:$E$105,1)))*INDEX(Aannames!$M$99:$M$105,MATCH(C107,Aannames!$E$99:$E$105,1)+1)
+(INDEX(Aannames!$E$99:$E$105,MATCH(C107,Aannames!$E$99:$E$105,1)+1)-C107)/(INDEX(Aannames!$E$99:$E$105,MATCH(C107,Aannames!$E$99:$E$105,1)+1)-INDEX(Aannames!$E$99:$E$105,MATCH(C107,Aannames!$E$99:$E$105,1)))*INDEX(Aannames!$M$99:$M$105,MATCH(C107,Aannames!$E$99:$E$105,1))),500)</f>
        <v>6720000</v>
      </c>
      <c r="G107" s="594">
        <f t="shared" si="48"/>
        <v>604.80000000000007</v>
      </c>
      <c r="H107" s="594">
        <f t="shared" si="49"/>
        <v>129.35</v>
      </c>
      <c r="I107" s="600">
        <f t="shared" si="50"/>
        <v>776.15000000000009</v>
      </c>
      <c r="J107" s="601">
        <f t="shared" ref="J107:J116" si="63">SUM(G107:I107)</f>
        <v>1510.3000000000002</v>
      </c>
      <c r="K107" s="594">
        <f t="shared" ref="K107:K116" si="64">MROUND($F107*Y107/100/W107,0.05)</f>
        <v>672</v>
      </c>
      <c r="L107" s="594">
        <f t="shared" si="51"/>
        <v>723.25</v>
      </c>
      <c r="M107" s="594">
        <f t="shared" si="52"/>
        <v>813.65000000000009</v>
      </c>
      <c r="N107" s="600">
        <f t="shared" si="53"/>
        <v>929.90000000000009</v>
      </c>
      <c r="O107" s="596">
        <f t="shared" ref="O107:O116" si="65">SUM($K107,L107)</f>
        <v>1395.25</v>
      </c>
      <c r="P107" s="596">
        <f t="shared" ref="P107:P116" si="66">SUM($K107,M107)</f>
        <v>1485.65</v>
      </c>
      <c r="Q107" s="601">
        <f t="shared" ref="Q107:Q116" si="67">SUM($K107,N107)</f>
        <v>1601.9</v>
      </c>
      <c r="R107" s="594">
        <f t="shared" ref="R107:R116" si="68">J107+K107</f>
        <v>2182.3000000000002</v>
      </c>
      <c r="S107" s="596">
        <f t="shared" ref="S107:S116" si="69">SUM($J107,O107)</f>
        <v>2905.55</v>
      </c>
      <c r="T107" s="596">
        <f t="shared" ref="T107:T116" si="70">SUM($J107,P107)</f>
        <v>2995.9500000000003</v>
      </c>
      <c r="U107" s="599">
        <f t="shared" ref="U107:U116" si="71">SUM($J107,Q107)</f>
        <v>3112.2000000000003</v>
      </c>
      <c r="W107" s="34">
        <f t="shared" ref="W107:W116" si="72">$H$137</f>
        <v>10000</v>
      </c>
      <c r="X107" s="857">
        <f t="shared" si="57"/>
        <v>500</v>
      </c>
      <c r="Y107" s="528">
        <v>100</v>
      </c>
      <c r="AA107" s="531">
        <f t="shared" si="58"/>
        <v>58.8</v>
      </c>
      <c r="AB107" s="115">
        <f t="shared" si="59"/>
        <v>66.150000000000006</v>
      </c>
      <c r="AC107" s="532">
        <f t="shared" si="60"/>
        <v>75.599999999999994</v>
      </c>
    </row>
    <row r="108" spans="1:29">
      <c r="A108" s="183">
        <f t="shared" ref="A108:A116" si="73">IF(ISNUMBER(D108),ROW(),"")</f>
        <v>108</v>
      </c>
      <c r="B108" s="16"/>
      <c r="C108" s="617">
        <f t="shared" si="61"/>
        <v>440</v>
      </c>
      <c r="D108" s="12">
        <f t="shared" si="62"/>
        <v>590.04971942181237</v>
      </c>
      <c r="E108" s="12" t="s">
        <v>131</v>
      </c>
      <c r="F108" s="620">
        <f>MROUND(C108*((C108-INDEX(Aannames!$E$99:$E$105,MATCH(C108,Aannames!$E$99:$E$105,1)))/(INDEX(Aannames!$E$99:$E$105,MATCH(C108,Aannames!$E$99:$E$105,1)+1)-INDEX(Aannames!$E$99:$E$105,MATCH(C108,Aannames!$E$99:$E$105,1)))*INDEX(Aannames!$M$99:$M$105,MATCH(C108,Aannames!$E$99:$E$105,1)+1)
+(INDEX(Aannames!$E$99:$E$105,MATCH(C108,Aannames!$E$99:$E$105,1)+1)-C108)/(INDEX(Aannames!$E$99:$E$105,MATCH(C108,Aannames!$E$99:$E$105,1)+1)-INDEX(Aannames!$E$99:$E$105,MATCH(C108,Aannames!$E$99:$E$105,1)))*INDEX(Aannames!$M$99:$M$105,MATCH(C108,Aannames!$E$99:$E$105,1))),500)</f>
        <v>7040000</v>
      </c>
      <c r="G108" s="594">
        <f t="shared" si="48"/>
        <v>633.6</v>
      </c>
      <c r="H108" s="594">
        <f t="shared" si="49"/>
        <v>135.5</v>
      </c>
      <c r="I108" s="600">
        <f t="shared" si="50"/>
        <v>813.1</v>
      </c>
      <c r="J108" s="601">
        <f t="shared" si="63"/>
        <v>1582.2</v>
      </c>
      <c r="K108" s="594">
        <f t="shared" si="64"/>
        <v>704</v>
      </c>
      <c r="L108" s="594">
        <f t="shared" si="51"/>
        <v>757.7</v>
      </c>
      <c r="M108" s="594">
        <f t="shared" si="52"/>
        <v>852.40000000000009</v>
      </c>
      <c r="N108" s="600">
        <f t="shared" si="53"/>
        <v>974.15000000000009</v>
      </c>
      <c r="O108" s="596">
        <f t="shared" si="65"/>
        <v>1461.7</v>
      </c>
      <c r="P108" s="596">
        <f t="shared" si="66"/>
        <v>1556.4</v>
      </c>
      <c r="Q108" s="601">
        <f t="shared" si="67"/>
        <v>1678.15</v>
      </c>
      <c r="R108" s="594">
        <f t="shared" si="68"/>
        <v>2286.1999999999998</v>
      </c>
      <c r="S108" s="596">
        <f t="shared" si="69"/>
        <v>3043.9</v>
      </c>
      <c r="T108" s="596">
        <f t="shared" si="70"/>
        <v>3138.6000000000004</v>
      </c>
      <c r="U108" s="599">
        <f t="shared" si="71"/>
        <v>3260.3500000000004</v>
      </c>
      <c r="W108" s="34">
        <f t="shared" si="72"/>
        <v>10000</v>
      </c>
      <c r="X108" s="857">
        <f t="shared" si="57"/>
        <v>500</v>
      </c>
      <c r="Y108" s="528">
        <v>100</v>
      </c>
      <c r="AA108" s="531">
        <f t="shared" si="58"/>
        <v>61.599999999999994</v>
      </c>
      <c r="AB108" s="115">
        <f t="shared" si="59"/>
        <v>69.3</v>
      </c>
      <c r="AC108" s="532">
        <f t="shared" si="60"/>
        <v>79.2</v>
      </c>
    </row>
    <row r="109" spans="1:29">
      <c r="A109" s="183">
        <f t="shared" si="73"/>
        <v>109</v>
      </c>
      <c r="B109" s="16"/>
      <c r="C109" s="617">
        <f t="shared" si="61"/>
        <v>460</v>
      </c>
      <c r="D109" s="12">
        <f t="shared" si="62"/>
        <v>616.870161213713</v>
      </c>
      <c r="E109" s="12" t="s">
        <v>131</v>
      </c>
      <c r="F109" s="620">
        <f>MROUND(C109*((C109-INDEX(Aannames!$E$99:$E$105,MATCH(C109,Aannames!$E$99:$E$105,1)))/(INDEX(Aannames!$E$99:$E$105,MATCH(C109,Aannames!$E$99:$E$105,1)+1)-INDEX(Aannames!$E$99:$E$105,MATCH(C109,Aannames!$E$99:$E$105,1)))*INDEX(Aannames!$M$99:$M$105,MATCH(C109,Aannames!$E$99:$E$105,1)+1)
+(INDEX(Aannames!$E$99:$E$105,MATCH(C109,Aannames!$E$99:$E$105,1)+1)-C109)/(INDEX(Aannames!$E$99:$E$105,MATCH(C109,Aannames!$E$99:$E$105,1)+1)-INDEX(Aannames!$E$99:$E$105,MATCH(C109,Aannames!$E$99:$E$105,1)))*INDEX(Aannames!$M$99:$M$105,MATCH(C109,Aannames!$E$99:$E$105,1))),500)</f>
        <v>7360000</v>
      </c>
      <c r="G109" s="594">
        <f t="shared" si="48"/>
        <v>662.40000000000009</v>
      </c>
      <c r="H109" s="594">
        <f t="shared" si="49"/>
        <v>141.70000000000002</v>
      </c>
      <c r="I109" s="600">
        <f t="shared" si="50"/>
        <v>850.1</v>
      </c>
      <c r="J109" s="601">
        <f t="shared" si="63"/>
        <v>1654.2000000000003</v>
      </c>
      <c r="K109" s="594">
        <f t="shared" si="64"/>
        <v>736</v>
      </c>
      <c r="L109" s="594">
        <f t="shared" si="51"/>
        <v>792.1</v>
      </c>
      <c r="M109" s="594">
        <f t="shared" si="52"/>
        <v>891.15000000000009</v>
      </c>
      <c r="N109" s="600">
        <f t="shared" si="53"/>
        <v>1018.45</v>
      </c>
      <c r="O109" s="596">
        <f t="shared" si="65"/>
        <v>1528.1</v>
      </c>
      <c r="P109" s="596">
        <f t="shared" si="66"/>
        <v>1627.15</v>
      </c>
      <c r="Q109" s="601">
        <f t="shared" si="67"/>
        <v>1754.45</v>
      </c>
      <c r="R109" s="594">
        <f t="shared" si="68"/>
        <v>2390.2000000000003</v>
      </c>
      <c r="S109" s="596">
        <f t="shared" si="69"/>
        <v>3182.3</v>
      </c>
      <c r="T109" s="596">
        <f t="shared" si="70"/>
        <v>3281.3500000000004</v>
      </c>
      <c r="U109" s="599">
        <f t="shared" si="71"/>
        <v>3408.6500000000005</v>
      </c>
      <c r="W109" s="34">
        <f t="shared" si="72"/>
        <v>10000</v>
      </c>
      <c r="X109" s="857">
        <f t="shared" si="57"/>
        <v>500</v>
      </c>
      <c r="Y109" s="528">
        <v>100</v>
      </c>
      <c r="AA109" s="531">
        <f t="shared" si="58"/>
        <v>64.399999999999991</v>
      </c>
      <c r="AB109" s="115">
        <f t="shared" si="59"/>
        <v>72.45</v>
      </c>
      <c r="AC109" s="532">
        <f t="shared" si="60"/>
        <v>82.8</v>
      </c>
    </row>
    <row r="110" spans="1:29">
      <c r="A110" s="183">
        <f t="shared" si="73"/>
        <v>110</v>
      </c>
      <c r="B110" s="16"/>
      <c r="C110" s="617">
        <f t="shared" si="61"/>
        <v>480</v>
      </c>
      <c r="D110" s="12">
        <f t="shared" si="62"/>
        <v>643.69060300561353</v>
      </c>
      <c r="E110" s="12" t="s">
        <v>131</v>
      </c>
      <c r="F110" s="620">
        <f>MROUND(C110*((C110-INDEX(Aannames!$E$99:$E$105,MATCH(C110,Aannames!$E$99:$E$105,1)))/(INDEX(Aannames!$E$99:$E$105,MATCH(C110,Aannames!$E$99:$E$105,1)+1)-INDEX(Aannames!$E$99:$E$105,MATCH(C110,Aannames!$E$99:$E$105,1)))*INDEX(Aannames!$M$99:$M$105,MATCH(C110,Aannames!$E$99:$E$105,1)+1)
+(INDEX(Aannames!$E$99:$E$105,MATCH(C110,Aannames!$E$99:$E$105,1)+1)-C110)/(INDEX(Aannames!$E$99:$E$105,MATCH(C110,Aannames!$E$99:$E$105,1)+1)-INDEX(Aannames!$E$99:$E$105,MATCH(C110,Aannames!$E$99:$E$105,1)))*INDEX(Aannames!$M$99:$M$105,MATCH(C110,Aannames!$E$99:$E$105,1))),500)</f>
        <v>7680000</v>
      </c>
      <c r="G110" s="594">
        <f t="shared" si="48"/>
        <v>691.2</v>
      </c>
      <c r="H110" s="594">
        <f t="shared" si="49"/>
        <v>147.85</v>
      </c>
      <c r="I110" s="600">
        <f t="shared" si="50"/>
        <v>887.05000000000007</v>
      </c>
      <c r="J110" s="601">
        <f t="shared" si="63"/>
        <v>1726.1000000000001</v>
      </c>
      <c r="K110" s="594">
        <f t="shared" si="64"/>
        <v>768</v>
      </c>
      <c r="L110" s="594">
        <f t="shared" si="51"/>
        <v>826.55000000000007</v>
      </c>
      <c r="M110" s="594">
        <f t="shared" si="52"/>
        <v>929.90000000000009</v>
      </c>
      <c r="N110" s="600">
        <f t="shared" si="53"/>
        <v>1062.7</v>
      </c>
      <c r="O110" s="596">
        <f t="shared" si="65"/>
        <v>1594.5500000000002</v>
      </c>
      <c r="P110" s="596">
        <f t="shared" si="66"/>
        <v>1697.9</v>
      </c>
      <c r="Q110" s="601">
        <f t="shared" si="67"/>
        <v>1830.7</v>
      </c>
      <c r="R110" s="594">
        <f t="shared" si="68"/>
        <v>2494.1000000000004</v>
      </c>
      <c r="S110" s="596">
        <f t="shared" si="69"/>
        <v>3320.6500000000005</v>
      </c>
      <c r="T110" s="596">
        <f t="shared" si="70"/>
        <v>3424</v>
      </c>
      <c r="U110" s="599">
        <f t="shared" si="71"/>
        <v>3556.8</v>
      </c>
      <c r="W110" s="34">
        <f t="shared" si="72"/>
        <v>10000</v>
      </c>
      <c r="X110" s="857">
        <f t="shared" si="57"/>
        <v>500</v>
      </c>
      <c r="Y110" s="528">
        <v>100</v>
      </c>
      <c r="AA110" s="531">
        <f t="shared" si="58"/>
        <v>67.199999999999989</v>
      </c>
      <c r="AB110" s="115">
        <f t="shared" si="59"/>
        <v>75.599999999999994</v>
      </c>
      <c r="AC110" s="532">
        <f t="shared" si="60"/>
        <v>86.399999999999991</v>
      </c>
    </row>
    <row r="111" spans="1:29">
      <c r="A111" s="183">
        <f t="shared" si="73"/>
        <v>111</v>
      </c>
      <c r="B111" s="16"/>
      <c r="C111" s="617">
        <f t="shared" si="61"/>
        <v>500</v>
      </c>
      <c r="D111" s="12">
        <f t="shared" si="62"/>
        <v>670.51104479751416</v>
      </c>
      <c r="E111" s="12" t="s">
        <v>131</v>
      </c>
      <c r="F111" s="620">
        <f>MROUND(C111*((C111-INDEX(Aannames!$E$99:$E$105,MATCH(C111,Aannames!$E$99:$E$105,1)))/(INDEX(Aannames!$E$99:$E$105,MATCH(C111,Aannames!$E$99:$E$105,1)+1)-INDEX(Aannames!$E$99:$E$105,MATCH(C111,Aannames!$E$99:$E$105,1)))*INDEX(Aannames!$M$99:$M$105,MATCH(C111,Aannames!$E$99:$E$105,1)+1)
+(INDEX(Aannames!$E$99:$E$105,MATCH(C111,Aannames!$E$99:$E$105,1)+1)-C111)/(INDEX(Aannames!$E$99:$E$105,MATCH(C111,Aannames!$E$99:$E$105,1)+1)-INDEX(Aannames!$E$99:$E$105,MATCH(C111,Aannames!$E$99:$E$105,1)))*INDEX(Aannames!$M$99:$M$105,MATCH(C111,Aannames!$E$99:$E$105,1))),500)</f>
        <v>8000000</v>
      </c>
      <c r="G111" s="594">
        <f t="shared" si="48"/>
        <v>720</v>
      </c>
      <c r="H111" s="594">
        <f t="shared" si="49"/>
        <v>154</v>
      </c>
      <c r="I111" s="600">
        <f t="shared" si="50"/>
        <v>924</v>
      </c>
      <c r="J111" s="601">
        <f t="shared" si="63"/>
        <v>1798</v>
      </c>
      <c r="K111" s="594">
        <f t="shared" si="64"/>
        <v>800</v>
      </c>
      <c r="L111" s="594">
        <f t="shared" si="51"/>
        <v>861</v>
      </c>
      <c r="M111" s="594">
        <f t="shared" si="52"/>
        <v>968.65000000000009</v>
      </c>
      <c r="N111" s="600">
        <f t="shared" si="53"/>
        <v>1107</v>
      </c>
      <c r="O111" s="596">
        <f t="shared" si="65"/>
        <v>1661</v>
      </c>
      <c r="P111" s="596">
        <f t="shared" si="66"/>
        <v>1768.65</v>
      </c>
      <c r="Q111" s="601">
        <f t="shared" si="67"/>
        <v>1907</v>
      </c>
      <c r="R111" s="594">
        <f t="shared" si="68"/>
        <v>2598</v>
      </c>
      <c r="S111" s="596">
        <f t="shared" si="69"/>
        <v>3459</v>
      </c>
      <c r="T111" s="596">
        <f t="shared" si="70"/>
        <v>3566.65</v>
      </c>
      <c r="U111" s="599">
        <f t="shared" si="71"/>
        <v>3705</v>
      </c>
      <c r="W111" s="34">
        <f t="shared" si="72"/>
        <v>10000</v>
      </c>
      <c r="X111" s="857">
        <f t="shared" si="57"/>
        <v>500</v>
      </c>
      <c r="Y111" s="528">
        <v>100</v>
      </c>
      <c r="AA111" s="531">
        <f t="shared" si="58"/>
        <v>69.999999999999986</v>
      </c>
      <c r="AB111" s="115">
        <f t="shared" si="59"/>
        <v>78.75</v>
      </c>
      <c r="AC111" s="532">
        <f t="shared" si="60"/>
        <v>90</v>
      </c>
    </row>
    <row r="112" spans="1:29">
      <c r="A112" s="183">
        <f t="shared" si="73"/>
        <v>112</v>
      </c>
      <c r="B112" s="16"/>
      <c r="C112" s="617">
        <f t="shared" si="61"/>
        <v>520</v>
      </c>
      <c r="D112" s="12">
        <f t="shared" si="62"/>
        <v>697.33148658941468</v>
      </c>
      <c r="E112" s="12" t="s">
        <v>131</v>
      </c>
      <c r="F112" s="620">
        <f>MROUND(C112*((C112-INDEX(Aannames!$E$99:$E$105,MATCH(C112,Aannames!$E$99:$E$105,1)))/(INDEX(Aannames!$E$99:$E$105,MATCH(C112,Aannames!$E$99:$E$105,1)+1)-INDEX(Aannames!$E$99:$E$105,MATCH(C112,Aannames!$E$99:$E$105,1)))*INDEX(Aannames!$M$99:$M$105,MATCH(C112,Aannames!$E$99:$E$105,1)+1)
+(INDEX(Aannames!$E$99:$E$105,MATCH(C112,Aannames!$E$99:$E$105,1)+1)-C112)/(INDEX(Aannames!$E$99:$E$105,MATCH(C112,Aannames!$E$99:$E$105,1)+1)-INDEX(Aannames!$E$99:$E$105,MATCH(C112,Aannames!$E$99:$E$105,1)))*INDEX(Aannames!$M$99:$M$105,MATCH(C112,Aannames!$E$99:$E$105,1))),500)</f>
        <v>8320000</v>
      </c>
      <c r="G112" s="594">
        <f t="shared" si="48"/>
        <v>748.80000000000007</v>
      </c>
      <c r="H112" s="594">
        <f t="shared" si="49"/>
        <v>160.15</v>
      </c>
      <c r="I112" s="600">
        <f t="shared" si="50"/>
        <v>960.95</v>
      </c>
      <c r="J112" s="601">
        <f t="shared" si="63"/>
        <v>1869.9</v>
      </c>
      <c r="K112" s="594">
        <f t="shared" si="64"/>
        <v>832</v>
      </c>
      <c r="L112" s="594">
        <f t="shared" si="51"/>
        <v>895.45</v>
      </c>
      <c r="M112" s="594">
        <f t="shared" si="52"/>
        <v>1007.35</v>
      </c>
      <c r="N112" s="600">
        <f t="shared" si="53"/>
        <v>1151.3</v>
      </c>
      <c r="O112" s="596">
        <f t="shared" si="65"/>
        <v>1727.45</v>
      </c>
      <c r="P112" s="596">
        <f t="shared" si="66"/>
        <v>1839.35</v>
      </c>
      <c r="Q112" s="601">
        <f t="shared" si="67"/>
        <v>1983.3</v>
      </c>
      <c r="R112" s="594">
        <f t="shared" si="68"/>
        <v>2701.9</v>
      </c>
      <c r="S112" s="596">
        <f t="shared" si="69"/>
        <v>3597.3500000000004</v>
      </c>
      <c r="T112" s="596">
        <f t="shared" si="70"/>
        <v>3709.25</v>
      </c>
      <c r="U112" s="599">
        <f t="shared" si="71"/>
        <v>3853.2</v>
      </c>
      <c r="W112" s="34">
        <f t="shared" si="72"/>
        <v>10000</v>
      </c>
      <c r="X112" s="857">
        <f t="shared" si="57"/>
        <v>500</v>
      </c>
      <c r="Y112" s="528">
        <v>100</v>
      </c>
      <c r="AA112" s="531">
        <f t="shared" si="58"/>
        <v>72.8</v>
      </c>
      <c r="AB112" s="115">
        <f t="shared" si="59"/>
        <v>81.900000000000006</v>
      </c>
      <c r="AC112" s="532">
        <f t="shared" si="60"/>
        <v>93.6</v>
      </c>
    </row>
    <row r="113" spans="1:30">
      <c r="A113" s="183">
        <f t="shared" si="73"/>
        <v>113</v>
      </c>
      <c r="B113" s="16"/>
      <c r="C113" s="617">
        <f t="shared" si="61"/>
        <v>540</v>
      </c>
      <c r="D113" s="12">
        <f t="shared" si="62"/>
        <v>724.1519283813152</v>
      </c>
      <c r="E113" s="12" t="s">
        <v>131</v>
      </c>
      <c r="F113" s="620">
        <f>MROUND(C113*((C113-INDEX(Aannames!$E$99:$E$105,MATCH(C113,Aannames!$E$99:$E$105,1)))/(INDEX(Aannames!$E$99:$E$105,MATCH(C113,Aannames!$E$99:$E$105,1)+1)-INDEX(Aannames!$E$99:$E$105,MATCH(C113,Aannames!$E$99:$E$105,1)))*INDEX(Aannames!$M$99:$M$105,MATCH(C113,Aannames!$E$99:$E$105,1)+1)
+(INDEX(Aannames!$E$99:$E$105,MATCH(C113,Aannames!$E$99:$E$105,1)+1)-C113)/(INDEX(Aannames!$E$99:$E$105,MATCH(C113,Aannames!$E$99:$E$105,1)+1)-INDEX(Aannames!$E$99:$E$105,MATCH(C113,Aannames!$E$99:$E$105,1)))*INDEX(Aannames!$M$99:$M$105,MATCH(C113,Aannames!$E$99:$E$105,1))),500)</f>
        <v>8640000</v>
      </c>
      <c r="G113" s="594">
        <f t="shared" si="48"/>
        <v>777.6</v>
      </c>
      <c r="H113" s="594">
        <f t="shared" si="49"/>
        <v>166.3</v>
      </c>
      <c r="I113" s="600">
        <f t="shared" si="50"/>
        <v>997.90000000000009</v>
      </c>
      <c r="J113" s="601">
        <f t="shared" si="63"/>
        <v>1941.8000000000002</v>
      </c>
      <c r="K113" s="594">
        <f t="shared" si="64"/>
        <v>864</v>
      </c>
      <c r="L113" s="594">
        <f t="shared" si="51"/>
        <v>929.90000000000009</v>
      </c>
      <c r="M113" s="594">
        <f t="shared" si="52"/>
        <v>1046.1000000000001</v>
      </c>
      <c r="N113" s="600">
        <f t="shared" si="53"/>
        <v>1195.55</v>
      </c>
      <c r="O113" s="596">
        <f t="shared" si="65"/>
        <v>1793.9</v>
      </c>
      <c r="P113" s="596">
        <f t="shared" si="66"/>
        <v>1910.1000000000001</v>
      </c>
      <c r="Q113" s="601">
        <f t="shared" si="67"/>
        <v>2059.5500000000002</v>
      </c>
      <c r="R113" s="594">
        <f t="shared" si="68"/>
        <v>2805.8</v>
      </c>
      <c r="S113" s="596">
        <f t="shared" si="69"/>
        <v>3735.7000000000003</v>
      </c>
      <c r="T113" s="596">
        <f t="shared" si="70"/>
        <v>3851.9000000000005</v>
      </c>
      <c r="U113" s="599">
        <f t="shared" si="71"/>
        <v>4001.3500000000004</v>
      </c>
      <c r="W113" s="34">
        <f t="shared" si="72"/>
        <v>10000</v>
      </c>
      <c r="X113" s="857">
        <f t="shared" si="57"/>
        <v>500</v>
      </c>
      <c r="Y113" s="528">
        <v>100</v>
      </c>
      <c r="AA113" s="531">
        <f t="shared" si="58"/>
        <v>75.599999999999994</v>
      </c>
      <c r="AB113" s="115">
        <f t="shared" si="59"/>
        <v>85.05</v>
      </c>
      <c r="AC113" s="532">
        <f t="shared" si="60"/>
        <v>97.2</v>
      </c>
    </row>
    <row r="114" spans="1:30">
      <c r="A114" s="183">
        <f t="shared" si="73"/>
        <v>114</v>
      </c>
      <c r="B114" s="16"/>
      <c r="C114" s="617">
        <f t="shared" si="61"/>
        <v>560</v>
      </c>
      <c r="D114" s="12">
        <f t="shared" si="62"/>
        <v>750.97237017321584</v>
      </c>
      <c r="E114" s="12" t="s">
        <v>131</v>
      </c>
      <c r="F114" s="620">
        <f>MROUND(C114*((C114-INDEX(Aannames!$E$99:$E$105,MATCH(C114,Aannames!$E$99:$E$105,1)))/(INDEX(Aannames!$E$99:$E$105,MATCH(C114,Aannames!$E$99:$E$105,1)+1)-INDEX(Aannames!$E$99:$E$105,MATCH(C114,Aannames!$E$99:$E$105,1)))*INDEX(Aannames!$M$99:$M$105,MATCH(C114,Aannames!$E$99:$E$105,1)+1)
+(INDEX(Aannames!$E$99:$E$105,MATCH(C114,Aannames!$E$99:$E$105,1)+1)-C114)/(INDEX(Aannames!$E$99:$E$105,MATCH(C114,Aannames!$E$99:$E$105,1)+1)-INDEX(Aannames!$E$99:$E$105,MATCH(C114,Aannames!$E$99:$E$105,1)))*INDEX(Aannames!$M$99:$M$105,MATCH(C114,Aannames!$E$99:$E$105,1))),500)</f>
        <v>8960000</v>
      </c>
      <c r="G114" s="594">
        <f t="shared" si="48"/>
        <v>806.40000000000009</v>
      </c>
      <c r="H114" s="594">
        <f t="shared" si="49"/>
        <v>172.5</v>
      </c>
      <c r="I114" s="600">
        <f t="shared" si="50"/>
        <v>1034.9000000000001</v>
      </c>
      <c r="J114" s="601">
        <f t="shared" si="63"/>
        <v>2013.8000000000002</v>
      </c>
      <c r="K114" s="594">
        <f t="shared" si="64"/>
        <v>896</v>
      </c>
      <c r="L114" s="594">
        <f t="shared" si="51"/>
        <v>964.30000000000007</v>
      </c>
      <c r="M114" s="594">
        <f t="shared" si="52"/>
        <v>1084.8500000000001</v>
      </c>
      <c r="N114" s="600">
        <f t="shared" si="53"/>
        <v>1239.8500000000001</v>
      </c>
      <c r="O114" s="596">
        <f t="shared" si="65"/>
        <v>1860.3000000000002</v>
      </c>
      <c r="P114" s="596">
        <f t="shared" si="66"/>
        <v>1980.8500000000001</v>
      </c>
      <c r="Q114" s="601">
        <f t="shared" si="67"/>
        <v>2135.8500000000004</v>
      </c>
      <c r="R114" s="594">
        <f t="shared" si="68"/>
        <v>2909.8</v>
      </c>
      <c r="S114" s="596">
        <f t="shared" si="69"/>
        <v>3874.1000000000004</v>
      </c>
      <c r="T114" s="596">
        <f t="shared" si="70"/>
        <v>3994.6500000000005</v>
      </c>
      <c r="U114" s="599">
        <f t="shared" si="71"/>
        <v>4149.6500000000005</v>
      </c>
      <c r="W114" s="34">
        <f t="shared" si="72"/>
        <v>10000</v>
      </c>
      <c r="X114" s="857">
        <f t="shared" si="57"/>
        <v>500</v>
      </c>
      <c r="Y114" s="528">
        <v>100</v>
      </c>
      <c r="AA114" s="531">
        <f t="shared" si="58"/>
        <v>78.399999999999991</v>
      </c>
      <c r="AB114" s="115">
        <f t="shared" si="59"/>
        <v>88.2</v>
      </c>
      <c r="AC114" s="532">
        <f t="shared" si="60"/>
        <v>100.8</v>
      </c>
    </row>
    <row r="115" spans="1:30">
      <c r="A115" s="183">
        <f t="shared" si="73"/>
        <v>115</v>
      </c>
      <c r="B115" s="16"/>
      <c r="C115" s="617">
        <f t="shared" si="61"/>
        <v>580</v>
      </c>
      <c r="D115" s="12">
        <f t="shared" si="62"/>
        <v>777.79281196511636</v>
      </c>
      <c r="E115" s="12" t="s">
        <v>131</v>
      </c>
      <c r="F115" s="620">
        <f>MROUND(C115*((C115-INDEX(Aannames!$E$99:$E$105,MATCH(C115,Aannames!$E$99:$E$105,1)))/(INDEX(Aannames!$E$99:$E$105,MATCH(C115,Aannames!$E$99:$E$105,1)+1)-INDEX(Aannames!$E$99:$E$105,MATCH(C115,Aannames!$E$99:$E$105,1)))*INDEX(Aannames!$M$99:$M$105,MATCH(C115,Aannames!$E$99:$E$105,1)+1)
+(INDEX(Aannames!$E$99:$E$105,MATCH(C115,Aannames!$E$99:$E$105,1)+1)-C115)/(INDEX(Aannames!$E$99:$E$105,MATCH(C115,Aannames!$E$99:$E$105,1)+1)-INDEX(Aannames!$E$99:$E$105,MATCH(C115,Aannames!$E$99:$E$105,1)))*INDEX(Aannames!$M$99:$M$105,MATCH(C115,Aannames!$E$99:$E$105,1))),500)</f>
        <v>9280000</v>
      </c>
      <c r="G115" s="594">
        <f t="shared" si="48"/>
        <v>835.2</v>
      </c>
      <c r="H115" s="594">
        <f t="shared" si="49"/>
        <v>178.65</v>
      </c>
      <c r="I115" s="600">
        <f t="shared" si="50"/>
        <v>1071.8500000000001</v>
      </c>
      <c r="J115" s="601">
        <f t="shared" si="63"/>
        <v>2085.7000000000003</v>
      </c>
      <c r="K115" s="594">
        <f t="shared" si="64"/>
        <v>928</v>
      </c>
      <c r="L115" s="594">
        <f t="shared" si="51"/>
        <v>998.75</v>
      </c>
      <c r="M115" s="594">
        <f t="shared" si="52"/>
        <v>1123.6000000000001</v>
      </c>
      <c r="N115" s="600">
        <f t="shared" si="53"/>
        <v>1284.1000000000001</v>
      </c>
      <c r="O115" s="596">
        <f t="shared" si="65"/>
        <v>1926.75</v>
      </c>
      <c r="P115" s="596">
        <f t="shared" si="66"/>
        <v>2051.6000000000004</v>
      </c>
      <c r="Q115" s="601">
        <f t="shared" si="67"/>
        <v>2212.1000000000004</v>
      </c>
      <c r="R115" s="594">
        <f t="shared" si="68"/>
        <v>3013.7000000000003</v>
      </c>
      <c r="S115" s="596">
        <f t="shared" si="69"/>
        <v>4012.4500000000003</v>
      </c>
      <c r="T115" s="596">
        <f t="shared" si="70"/>
        <v>4137.3000000000011</v>
      </c>
      <c r="U115" s="599">
        <f t="shared" si="71"/>
        <v>4297.8000000000011</v>
      </c>
      <c r="W115" s="34">
        <f t="shared" si="72"/>
        <v>10000</v>
      </c>
      <c r="X115" s="857">
        <f t="shared" si="57"/>
        <v>500</v>
      </c>
      <c r="Y115" s="528">
        <v>100</v>
      </c>
      <c r="AA115" s="531">
        <f t="shared" si="58"/>
        <v>81.199999999999989</v>
      </c>
      <c r="AB115" s="115">
        <f t="shared" si="59"/>
        <v>91.35</v>
      </c>
      <c r="AC115" s="532">
        <f t="shared" si="60"/>
        <v>104.39999999999999</v>
      </c>
    </row>
    <row r="116" spans="1:30">
      <c r="A116" s="183">
        <f t="shared" si="73"/>
        <v>116</v>
      </c>
      <c r="B116" s="16"/>
      <c r="C116" s="617">
        <f t="shared" si="61"/>
        <v>600</v>
      </c>
      <c r="D116" s="12">
        <f t="shared" si="62"/>
        <v>804.61325375701688</v>
      </c>
      <c r="E116" s="12" t="s">
        <v>131</v>
      </c>
      <c r="F116" s="620">
        <f>MROUND(C116*((C116-INDEX(Aannames!$E$99:$E$105,MATCH(C116,Aannames!$E$99:$E$105,1)))/(INDEX(Aannames!$E$99:$E$105,MATCH(C116,Aannames!$E$99:$E$105,1)+1)-INDEX(Aannames!$E$99:$E$105,MATCH(C116,Aannames!$E$99:$E$105,1)))*INDEX(Aannames!$M$99:$M$105,MATCH(C116,Aannames!$E$99:$E$105,1)+1)
+(INDEX(Aannames!$E$99:$E$105,MATCH(C116,Aannames!$E$99:$E$105,1)+1)-C116)/(INDEX(Aannames!$E$99:$E$105,MATCH(C116,Aannames!$E$99:$E$105,1)+1)-INDEX(Aannames!$E$99:$E$105,MATCH(C116,Aannames!$E$99:$E$105,1)))*INDEX(Aannames!$M$99:$M$105,MATCH(C116,Aannames!$E$99:$E$105,1))),500)</f>
        <v>9600000</v>
      </c>
      <c r="G116" s="594">
        <f t="shared" si="48"/>
        <v>864</v>
      </c>
      <c r="H116" s="594">
        <f t="shared" si="49"/>
        <v>184.8</v>
      </c>
      <c r="I116" s="600">
        <f t="shared" si="50"/>
        <v>1108.8</v>
      </c>
      <c r="J116" s="601">
        <f t="shared" si="63"/>
        <v>2157.6</v>
      </c>
      <c r="K116" s="594">
        <f t="shared" si="64"/>
        <v>960</v>
      </c>
      <c r="L116" s="594">
        <f t="shared" si="51"/>
        <v>1033.2</v>
      </c>
      <c r="M116" s="594">
        <f t="shared" si="52"/>
        <v>1162.3500000000001</v>
      </c>
      <c r="N116" s="600">
        <f t="shared" si="53"/>
        <v>1328.4</v>
      </c>
      <c r="O116" s="596">
        <f t="shared" si="65"/>
        <v>1993.2</v>
      </c>
      <c r="P116" s="596">
        <f t="shared" si="66"/>
        <v>2122.3500000000004</v>
      </c>
      <c r="Q116" s="601">
        <f t="shared" si="67"/>
        <v>2288.4</v>
      </c>
      <c r="R116" s="594">
        <f t="shared" si="68"/>
        <v>3117.6</v>
      </c>
      <c r="S116" s="596">
        <f t="shared" si="69"/>
        <v>4150.8</v>
      </c>
      <c r="T116" s="596">
        <f t="shared" si="70"/>
        <v>4279.9500000000007</v>
      </c>
      <c r="U116" s="599">
        <f t="shared" si="71"/>
        <v>4446</v>
      </c>
      <c r="W116" s="34">
        <f t="shared" si="72"/>
        <v>10000</v>
      </c>
      <c r="X116" s="857">
        <f t="shared" si="57"/>
        <v>500</v>
      </c>
      <c r="Y116" s="528">
        <v>100</v>
      </c>
      <c r="AA116" s="531">
        <f t="shared" si="58"/>
        <v>83.999999999999986</v>
      </c>
      <c r="AB116" s="115">
        <f t="shared" si="59"/>
        <v>94.5</v>
      </c>
      <c r="AC116" s="532">
        <f t="shared" si="60"/>
        <v>108</v>
      </c>
    </row>
    <row r="117" spans="1:30" ht="7.5" customHeight="1">
      <c r="A117" s="30" t="str">
        <f>IF(ISNUMBER(D117),ROW(),"")</f>
        <v/>
      </c>
      <c r="B117" s="16"/>
      <c r="C117" s="623"/>
      <c r="D117" s="20"/>
      <c r="E117" s="20"/>
      <c r="F117" s="622"/>
      <c r="G117" s="626"/>
      <c r="H117" s="626"/>
      <c r="I117" s="626"/>
      <c r="J117" s="626"/>
      <c r="K117" s="626"/>
      <c r="L117" s="626"/>
      <c r="M117" s="626"/>
      <c r="N117" s="626"/>
      <c r="O117" s="626"/>
      <c r="P117" s="626"/>
      <c r="Q117" s="626"/>
      <c r="R117" s="626"/>
      <c r="S117" s="626"/>
      <c r="T117" s="626"/>
      <c r="U117" s="627"/>
      <c r="W117" s="21"/>
      <c r="X117" s="20"/>
      <c r="Y117" s="22"/>
      <c r="AA117" s="21"/>
      <c r="AB117" s="20"/>
      <c r="AC117" s="22"/>
    </row>
    <row r="118" spans="1:30">
      <c r="A118" s="30" t="str">
        <f>IF(ISNUMBER(D118),ROW(),"")</f>
        <v/>
      </c>
    </row>
    <row r="119" spans="1:30" s="452" customFormat="1" ht="23.25" customHeight="1" thickBot="1">
      <c r="A119" s="31"/>
      <c r="B119" s="5"/>
      <c r="C119" s="300" t="s">
        <v>40</v>
      </c>
      <c r="D119" s="301"/>
      <c r="E119" s="301"/>
      <c r="F119" s="301"/>
      <c r="G119" s="301"/>
      <c r="H119" s="301"/>
      <c r="I119" s="301"/>
      <c r="J119" s="301"/>
      <c r="K119" s="301"/>
      <c r="L119" s="301"/>
      <c r="M119" s="301"/>
      <c r="N119" s="301"/>
      <c r="O119" s="301"/>
      <c r="P119" s="301"/>
      <c r="Q119" s="301"/>
      <c r="R119" s="289"/>
      <c r="S119" s="301"/>
      <c r="T119" s="301"/>
      <c r="U119" s="302"/>
      <c r="V119" s="158"/>
      <c r="Z119" s="158"/>
      <c r="AD119" s="69"/>
    </row>
    <row r="120" spans="1:30">
      <c r="C120" s="2"/>
      <c r="D120" s="2"/>
      <c r="E120" s="2"/>
      <c r="F120" s="2"/>
      <c r="G120" s="2"/>
      <c r="H120" s="2"/>
      <c r="I120" s="2"/>
      <c r="J120" s="2"/>
      <c r="K120" s="2"/>
      <c r="L120" s="2"/>
      <c r="M120" s="2"/>
      <c r="N120" s="2"/>
      <c r="O120" s="2"/>
      <c r="P120" s="2"/>
      <c r="Q120" s="2"/>
      <c r="R120" s="2"/>
      <c r="S120" s="2"/>
      <c r="T120" s="2"/>
      <c r="U120" s="2"/>
    </row>
    <row r="121" spans="1:30">
      <c r="C121" s="14" t="s">
        <v>1210</v>
      </c>
      <c r="D121" s="2"/>
      <c r="E121" s="2"/>
      <c r="F121" s="2"/>
      <c r="G121" s="2"/>
      <c r="H121" s="2"/>
      <c r="I121" s="2"/>
      <c r="J121" s="2"/>
      <c r="K121" s="2"/>
      <c r="L121" s="2"/>
      <c r="M121" s="2"/>
      <c r="N121" s="2"/>
      <c r="O121" s="2"/>
      <c r="P121" s="2"/>
      <c r="Q121" s="2"/>
      <c r="R121" s="2"/>
      <c r="S121" s="2"/>
      <c r="T121" s="2"/>
      <c r="U121" s="2"/>
    </row>
    <row r="122" spans="1:30">
      <c r="C122" s="14"/>
      <c r="D122" s="2"/>
      <c r="E122" s="2"/>
      <c r="F122" s="2"/>
      <c r="G122" s="2"/>
      <c r="H122" s="2"/>
      <c r="I122" s="2"/>
      <c r="J122" s="2"/>
      <c r="K122" s="2"/>
      <c r="L122" s="2"/>
      <c r="M122" s="2"/>
      <c r="N122" s="2"/>
      <c r="O122" s="2"/>
      <c r="P122" s="2"/>
      <c r="Q122" s="2"/>
      <c r="R122" s="2"/>
      <c r="S122" s="2"/>
      <c r="T122" s="2"/>
      <c r="U122" s="2"/>
    </row>
    <row r="123" spans="1:30">
      <c r="C123" s="3">
        <v>1</v>
      </c>
      <c r="D123" s="2" t="s">
        <v>67</v>
      </c>
      <c r="E123" s="2"/>
      <c r="F123" s="2"/>
      <c r="G123" s="2"/>
      <c r="H123" s="2"/>
      <c r="I123" s="2"/>
      <c r="J123" s="2"/>
      <c r="K123" s="2"/>
      <c r="L123" s="2"/>
      <c r="M123" s="2"/>
      <c r="N123" s="2"/>
      <c r="O123" s="2"/>
      <c r="P123" s="911"/>
      <c r="Q123" s="2"/>
      <c r="R123" s="2"/>
      <c r="S123" s="2"/>
      <c r="T123" s="2"/>
      <c r="U123" s="2"/>
    </row>
    <row r="124" spans="1:30">
      <c r="C124" s="3">
        <f>MAX($C$123:C123)+1</f>
        <v>2</v>
      </c>
      <c r="D124" s="2" t="s">
        <v>59</v>
      </c>
      <c r="E124" s="2"/>
      <c r="F124" s="2"/>
      <c r="G124" s="2"/>
      <c r="H124" s="2"/>
      <c r="I124" s="2"/>
      <c r="J124" s="2"/>
      <c r="K124" s="2"/>
      <c r="L124" s="2"/>
      <c r="M124" s="2"/>
      <c r="N124" s="2"/>
      <c r="O124" s="2"/>
      <c r="P124" s="2"/>
      <c r="Q124" s="2"/>
      <c r="R124" s="2"/>
      <c r="S124" s="2"/>
      <c r="T124" s="2"/>
      <c r="U124" s="2"/>
    </row>
    <row r="125" spans="1:30">
      <c r="C125" s="3">
        <f>MAX($C$123:C124)+1</f>
        <v>3</v>
      </c>
      <c r="D125" s="2" t="s">
        <v>524</v>
      </c>
      <c r="E125" s="2"/>
      <c r="F125" s="2"/>
      <c r="G125" s="2"/>
      <c r="H125" s="2"/>
      <c r="I125" s="2"/>
      <c r="J125" s="2"/>
      <c r="K125" s="2"/>
      <c r="L125" s="2"/>
      <c r="M125" s="2"/>
      <c r="N125" s="2"/>
      <c r="O125" s="2"/>
      <c r="P125" s="2"/>
      <c r="Q125" s="2"/>
      <c r="R125" s="2"/>
      <c r="S125" s="2"/>
      <c r="T125" s="2"/>
      <c r="U125" s="2"/>
    </row>
    <row r="126" spans="1:30">
      <c r="C126" s="3">
        <f>MAX($C$123:C125)+1</f>
        <v>4</v>
      </c>
      <c r="D126" s="2" t="s">
        <v>58</v>
      </c>
      <c r="E126" s="2"/>
      <c r="F126" s="2"/>
      <c r="G126" s="9">
        <f>Skroot.Perc</f>
        <v>10</v>
      </c>
      <c r="H126" s="2" t="s">
        <v>97</v>
      </c>
      <c r="I126" s="2"/>
      <c r="J126" s="2"/>
      <c r="K126" s="2"/>
      <c r="L126" s="2"/>
      <c r="M126" s="2"/>
      <c r="N126" s="2"/>
      <c r="O126" s="2"/>
      <c r="P126" s="8"/>
      <c r="R126" s="8"/>
      <c r="S126" s="2"/>
      <c r="T126" s="2"/>
      <c r="U126" s="2"/>
    </row>
    <row r="127" spans="1:30">
      <c r="C127" s="3">
        <f>MAX($C$123:C126)+1</f>
        <v>5</v>
      </c>
      <c r="D127" s="2" t="s">
        <v>525</v>
      </c>
      <c r="E127" s="2"/>
      <c r="F127" s="2"/>
      <c r="G127" s="9">
        <f>Rente.Perc</f>
        <v>10.5</v>
      </c>
      <c r="H127" s="2" t="s">
        <v>98</v>
      </c>
      <c r="I127" s="2"/>
      <c r="J127" s="2"/>
      <c r="K127" s="2"/>
      <c r="L127" s="2"/>
      <c r="M127" s="2"/>
      <c r="N127" s="2"/>
      <c r="O127" s="2"/>
      <c r="P127" s="8"/>
      <c r="R127" s="8"/>
      <c r="S127" s="2"/>
      <c r="T127" s="2"/>
      <c r="U127" s="2"/>
    </row>
    <row r="128" spans="1:30">
      <c r="C128" s="3">
        <f>MAX($C$123:C127)+1</f>
        <v>6</v>
      </c>
      <c r="D128" s="153" t="s">
        <v>386</v>
      </c>
      <c r="E128" s="2"/>
      <c r="F128" s="2"/>
      <c r="G128" s="223">
        <f>Diesel.Gebruik</f>
        <v>12.3</v>
      </c>
      <c r="H128" s="2" t="s">
        <v>57</v>
      </c>
      <c r="I128" s="2" t="str">
        <f>Aannames!D60</f>
        <v xml:space="preserve">Dieselprys (Handel) = </v>
      </c>
      <c r="J128" s="69"/>
      <c r="K128" s="11">
        <f>Diesel.Handel</f>
        <v>12.3</v>
      </c>
      <c r="L128" s="184" t="str">
        <f>Aannames!G60</f>
        <v>per liter</v>
      </c>
      <c r="N128" s="2"/>
      <c r="O128" s="2"/>
      <c r="P128" s="2" t="str">
        <f>Aannames!$K$60</f>
        <v>(270.00c x 80% soos vanaf April 2016)</v>
      </c>
      <c r="R128" s="2"/>
      <c r="S128" s="2"/>
      <c r="T128" s="2"/>
      <c r="U128" s="2"/>
    </row>
    <row r="129" spans="1:21">
      <c r="C129" s="3"/>
      <c r="D129" s="2"/>
      <c r="E129" s="2"/>
      <c r="F129" s="2"/>
      <c r="G129" s="29"/>
      <c r="H129" s="2"/>
      <c r="I129" s="2" t="str">
        <f>Aannames!D61</f>
        <v>Dieselkorting =</v>
      </c>
      <c r="J129" s="69"/>
      <c r="K129" s="2">
        <f>Diesel.Korting.Sent</f>
        <v>290</v>
      </c>
      <c r="L129" s="2" t="str">
        <f>Aannames!$G$61</f>
        <v>sent per liter x 80% =</v>
      </c>
      <c r="M129" s="2"/>
      <c r="N129" s="2">
        <f>K129*0.8</f>
        <v>232</v>
      </c>
      <c r="O129" s="2" t="s">
        <v>70</v>
      </c>
      <c r="P129" s="2" t="str">
        <f>Aannames!$K$61</f>
        <v>(250.00c x 80% soos vanaf April 2015)</v>
      </c>
      <c r="R129" s="2"/>
      <c r="S129" s="2"/>
      <c r="T129" s="2"/>
      <c r="U129" s="2"/>
    </row>
    <row r="130" spans="1:21">
      <c r="C130" s="3"/>
      <c r="D130" s="2"/>
      <c r="E130" s="2"/>
      <c r="F130" s="2"/>
      <c r="G130" s="29"/>
      <c r="H130" s="2"/>
      <c r="I130" s="2" t="str">
        <f>Aannames!D62</f>
        <v>Dieselprys (na korting) =</v>
      </c>
      <c r="J130" s="69"/>
      <c r="K130" s="224">
        <f>K128-N129/100</f>
        <v>9.98</v>
      </c>
      <c r="L130" s="225" t="s">
        <v>236</v>
      </c>
      <c r="P130" s="4" t="str">
        <f>Aannames!$K$62</f>
        <v>(187.80c x 80% soos vanaf April 2014)</v>
      </c>
      <c r="R130" s="4"/>
      <c r="S130" s="2"/>
      <c r="T130" s="2"/>
      <c r="U130" s="2"/>
    </row>
    <row r="131" spans="1:21">
      <c r="C131" s="14" t="s">
        <v>64</v>
      </c>
      <c r="D131" s="2"/>
      <c r="E131" s="2"/>
      <c r="F131" s="2"/>
      <c r="G131" s="2"/>
      <c r="H131" s="8"/>
      <c r="I131" s="2"/>
      <c r="J131" s="2"/>
      <c r="K131" s="2"/>
      <c r="L131" s="2"/>
      <c r="M131" s="2"/>
      <c r="N131" s="2"/>
      <c r="O131" s="2"/>
      <c r="P131" s="2"/>
      <c r="Q131" s="8"/>
      <c r="R131" s="8"/>
      <c r="S131" s="2"/>
      <c r="T131" s="2"/>
      <c r="U131" s="2"/>
    </row>
    <row r="132" spans="1:21">
      <c r="C132" s="14"/>
      <c r="D132" s="2"/>
      <c r="E132" s="2"/>
      <c r="F132" s="2"/>
      <c r="G132" s="2"/>
      <c r="H132" s="8"/>
      <c r="I132" s="2"/>
      <c r="J132" s="2"/>
      <c r="K132" s="2"/>
      <c r="L132" s="2"/>
      <c r="M132" s="2"/>
      <c r="N132" s="2"/>
      <c r="O132" s="2"/>
      <c r="P132" s="2"/>
      <c r="Q132" s="8"/>
      <c r="R132" s="8"/>
      <c r="S132" s="2"/>
      <c r="T132" s="2"/>
      <c r="U132" s="2"/>
    </row>
    <row r="133" spans="1:21">
      <c r="A133" s="310"/>
      <c r="C133" s="908">
        <f>MAX($C$123:C132)+1</f>
        <v>7</v>
      </c>
      <c r="D133" s="153" t="s">
        <v>1241</v>
      </c>
      <c r="E133" s="2"/>
      <c r="F133" s="2"/>
      <c r="G133" s="2"/>
      <c r="H133" s="8"/>
      <c r="I133" s="2"/>
      <c r="J133" s="2"/>
      <c r="K133" s="2"/>
      <c r="L133" s="2"/>
      <c r="M133" s="911" t="s">
        <v>1240</v>
      </c>
      <c r="N133" s="2"/>
      <c r="O133" s="2"/>
      <c r="P133" s="2"/>
      <c r="Q133" s="8"/>
      <c r="R133" s="8"/>
      <c r="S133" s="2"/>
      <c r="T133" s="2"/>
      <c r="U133" s="2"/>
    </row>
    <row r="134" spans="1:21">
      <c r="C134" s="3">
        <v>8</v>
      </c>
      <c r="D134" s="2" t="s">
        <v>526</v>
      </c>
      <c r="E134" s="2"/>
      <c r="F134" s="2"/>
      <c r="G134" s="2"/>
      <c r="H134" s="9">
        <f>Aannames!G77</f>
        <v>1.75</v>
      </c>
      <c r="I134" s="2" t="s">
        <v>98</v>
      </c>
      <c r="J134" s="2"/>
      <c r="K134" s="2"/>
      <c r="L134" s="2"/>
      <c r="M134" s="2"/>
      <c r="N134" s="2"/>
      <c r="O134" s="2"/>
      <c r="P134" s="2"/>
      <c r="Q134" s="8"/>
      <c r="R134" s="8"/>
      <c r="S134" s="2"/>
      <c r="T134" s="2"/>
      <c r="U134" s="2"/>
    </row>
    <row r="135" spans="1:21">
      <c r="C135" s="3">
        <f>MAX($C$123:C134)+1</f>
        <v>9</v>
      </c>
      <c r="D135" s="2" t="s">
        <v>527</v>
      </c>
      <c r="E135" s="2"/>
      <c r="F135" s="2"/>
      <c r="G135" s="2"/>
      <c r="H135" s="9">
        <f>Aannames!G78</f>
        <v>100</v>
      </c>
      <c r="I135" s="2" t="s">
        <v>99</v>
      </c>
      <c r="J135" s="2"/>
      <c r="K135" s="2"/>
      <c r="L135" s="2"/>
      <c r="M135" s="2"/>
      <c r="N135" s="2"/>
      <c r="O135" s="2"/>
      <c r="P135" s="2"/>
      <c r="Q135" s="4"/>
      <c r="R135" s="4"/>
      <c r="S135" s="2"/>
      <c r="T135" s="2"/>
      <c r="U135" s="2"/>
    </row>
    <row r="136" spans="1:21">
      <c r="A136" s="65"/>
      <c r="C136" s="3"/>
      <c r="D136" s="2"/>
      <c r="E136" s="2"/>
      <c r="F136" s="2"/>
      <c r="G136" s="2"/>
      <c r="H136" s="9"/>
      <c r="I136" s="2"/>
      <c r="J136" s="2"/>
      <c r="K136" s="2"/>
      <c r="L136" s="2"/>
      <c r="M136" s="2"/>
      <c r="N136" s="2"/>
      <c r="O136" s="2"/>
      <c r="P136" s="2"/>
      <c r="Q136" s="4"/>
      <c r="R136" s="4"/>
      <c r="S136" s="2"/>
      <c r="T136" s="2"/>
      <c r="U136" s="2"/>
    </row>
    <row r="137" spans="1:21">
      <c r="C137" s="3">
        <f>MAX($C$123:C135)+1</f>
        <v>10</v>
      </c>
      <c r="D137" s="2" t="s">
        <v>62</v>
      </c>
      <c r="E137" s="2"/>
      <c r="F137" s="2"/>
      <c r="G137" s="2"/>
      <c r="H137" s="13">
        <f>Aannames!G80</f>
        <v>10000</v>
      </c>
      <c r="I137" s="2" t="str">
        <f>Aannames!H80</f>
        <v>ure vir alle trekkers</v>
      </c>
      <c r="J137" s="2"/>
      <c r="K137" s="2"/>
      <c r="L137" s="2"/>
      <c r="M137" s="2"/>
      <c r="N137" s="2"/>
      <c r="O137" s="2"/>
      <c r="P137" s="2"/>
      <c r="Q137" s="4"/>
      <c r="R137" s="4"/>
      <c r="S137" s="2"/>
      <c r="T137" s="2"/>
      <c r="U137" s="2"/>
    </row>
    <row r="138" spans="1:21">
      <c r="C138" s="3">
        <f>MAX($C$123:C137)+1</f>
        <v>11</v>
      </c>
      <c r="D138" s="2" t="s">
        <v>63</v>
      </c>
      <c r="E138" s="2"/>
      <c r="F138" s="2"/>
      <c r="G138" s="2"/>
      <c r="H138" s="13">
        <f>Aannames!G81</f>
        <v>750</v>
      </c>
      <c r="I138" s="2" t="str">
        <f>Aannames!H81</f>
        <v>ure vir alle trekkers &lt;180 kW</v>
      </c>
      <c r="J138" s="2"/>
      <c r="K138" s="2"/>
      <c r="L138" s="2"/>
      <c r="M138" s="2"/>
      <c r="N138" s="2"/>
      <c r="O138" s="2"/>
      <c r="P138" s="2"/>
      <c r="Q138" s="4"/>
      <c r="R138" s="4"/>
      <c r="S138" s="2"/>
      <c r="T138" s="2"/>
      <c r="U138" s="2"/>
    </row>
    <row r="139" spans="1:21">
      <c r="C139" s="3"/>
      <c r="D139" s="2"/>
      <c r="E139" s="2"/>
      <c r="F139" s="2"/>
      <c r="G139" s="2"/>
      <c r="H139" s="13">
        <f>Aannames!G82</f>
        <v>500</v>
      </c>
      <c r="I139" s="2" t="str">
        <f>Aannames!H82</f>
        <v>ure vir alle trekkers &gt;181 kW</v>
      </c>
      <c r="J139" s="2"/>
      <c r="K139" s="2"/>
      <c r="L139" s="2"/>
      <c r="M139" s="2"/>
      <c r="N139" s="2"/>
      <c r="O139" s="2"/>
      <c r="P139" s="2"/>
      <c r="Q139" s="4"/>
      <c r="R139" s="4"/>
      <c r="S139" s="2"/>
      <c r="T139" s="2"/>
      <c r="U139" s="2"/>
    </row>
    <row r="140" spans="1:21">
      <c r="C140" s="3">
        <f>MAX($C$123:C139)+1</f>
        <v>12</v>
      </c>
      <c r="D140" s="2" t="str">
        <f>Aannames!C89</f>
        <v>Brandstof gebruik volgens drywingsvereiste = % van kW gebruik x liter gebruik per kW uur</v>
      </c>
      <c r="E140" s="2"/>
      <c r="F140" s="2"/>
      <c r="G140" s="2"/>
      <c r="H140" s="2"/>
      <c r="I140" s="2"/>
      <c r="J140" s="2"/>
      <c r="K140" s="2"/>
      <c r="L140" s="2"/>
      <c r="M140" s="2"/>
      <c r="N140" s="2"/>
      <c r="O140" s="2"/>
      <c r="P140" s="2"/>
      <c r="Q140" s="2"/>
      <c r="R140" s="2"/>
      <c r="S140" s="2"/>
      <c r="T140" s="2"/>
      <c r="U140" s="2"/>
    </row>
    <row r="141" spans="1:21">
      <c r="C141" s="3"/>
      <c r="D141" s="2"/>
      <c r="E141" s="91" t="s">
        <v>91</v>
      </c>
      <c r="F141" s="2" t="s">
        <v>55</v>
      </c>
      <c r="G141" s="9">
        <f>Aannames!F90</f>
        <v>35</v>
      </c>
      <c r="H141" s="2" t="s">
        <v>100</v>
      </c>
      <c r="I141" s="9">
        <f>Aannames!H90</f>
        <v>0.4</v>
      </c>
      <c r="J141" s="2" t="str">
        <f>Aannames!I90</f>
        <v>liter per kW-uur =</v>
      </c>
      <c r="L141" s="10">
        <f>Aannames!K90</f>
        <v>0.13999999999999999</v>
      </c>
      <c r="M141" s="2" t="str">
        <f>Aannames!L90</f>
        <v>liter per kW-uur</v>
      </c>
      <c r="N141" s="2"/>
      <c r="O141" s="2"/>
      <c r="P141" s="2"/>
      <c r="Q141" s="2"/>
      <c r="R141" s="2"/>
      <c r="S141" s="2"/>
      <c r="T141" s="2"/>
      <c r="U141" s="2"/>
    </row>
    <row r="142" spans="1:21">
      <c r="C142" s="3"/>
      <c r="D142" s="2"/>
      <c r="E142" s="91" t="s">
        <v>133</v>
      </c>
      <c r="F142" s="2" t="s">
        <v>56</v>
      </c>
      <c r="G142" s="9">
        <f>Aannames!F91</f>
        <v>45</v>
      </c>
      <c r="H142" s="2" t="s">
        <v>100</v>
      </c>
      <c r="I142" s="9">
        <f>Aannames!H91</f>
        <v>0.35</v>
      </c>
      <c r="J142" s="2" t="str">
        <f>Aannames!I91</f>
        <v>liter per kW-uur =</v>
      </c>
      <c r="L142" s="10">
        <f>Aannames!K91</f>
        <v>0.1575</v>
      </c>
      <c r="M142" s="2" t="str">
        <f>Aannames!L91</f>
        <v>liter per kW-uur</v>
      </c>
      <c r="N142" s="2"/>
      <c r="O142" s="2"/>
      <c r="P142" s="2"/>
      <c r="Q142" s="2"/>
      <c r="R142" s="2"/>
      <c r="S142" s="2"/>
      <c r="T142" s="2"/>
      <c r="U142" s="2"/>
    </row>
    <row r="143" spans="1:21">
      <c r="C143" s="3"/>
      <c r="D143" s="2"/>
      <c r="E143" s="91" t="s">
        <v>132</v>
      </c>
      <c r="F143" s="2" t="s">
        <v>134</v>
      </c>
      <c r="G143" s="9">
        <f>Aannames!F92</f>
        <v>60</v>
      </c>
      <c r="H143" s="2" t="s">
        <v>100</v>
      </c>
      <c r="I143" s="9">
        <f>Aannames!H92</f>
        <v>0.3</v>
      </c>
      <c r="J143" s="2" t="str">
        <f>Aannames!I92</f>
        <v>liter per kW-uur =</v>
      </c>
      <c r="L143" s="10">
        <f>Aannames!K92</f>
        <v>0.18</v>
      </c>
      <c r="M143" s="2" t="str">
        <f>Aannames!L92</f>
        <v>liter per kW-uur</v>
      </c>
      <c r="N143" s="2"/>
      <c r="O143" s="2"/>
      <c r="P143" s="2"/>
      <c r="Q143" s="2"/>
      <c r="R143" s="2"/>
      <c r="S143" s="2"/>
      <c r="T143" s="2"/>
      <c r="U143" s="2"/>
    </row>
    <row r="144" spans="1:21">
      <c r="C144" s="3"/>
      <c r="D144" s="2"/>
      <c r="E144" s="2"/>
      <c r="F144" s="2"/>
      <c r="G144" s="2"/>
      <c r="H144" s="2"/>
      <c r="I144" s="2"/>
      <c r="J144" s="2"/>
      <c r="K144" s="2"/>
      <c r="L144" s="2"/>
      <c r="M144" s="2"/>
      <c r="N144" s="2"/>
      <c r="O144" s="2"/>
      <c r="P144" s="2"/>
      <c r="Q144" s="2"/>
      <c r="R144" s="2"/>
      <c r="S144" s="2"/>
      <c r="T144" s="2"/>
      <c r="U144" s="2"/>
    </row>
    <row r="145" spans="1:21">
      <c r="A145" s="310"/>
      <c r="C145" s="890">
        <f>MAX($C$123:C144)+1</f>
        <v>13</v>
      </c>
      <c r="D145" s="2" t="str">
        <f>Aannames!C94</f>
        <v>Die aankoopprys van trekkers word bereken volgens 'n glyskaalformule wat die aankoopprys per kW gelydelik aanpas tussen kategorieë.</v>
      </c>
      <c r="E145" s="2"/>
      <c r="F145" s="2"/>
      <c r="G145" s="2"/>
      <c r="H145" s="2"/>
      <c r="I145" s="2"/>
      <c r="J145" s="2"/>
      <c r="K145" s="2"/>
      <c r="L145" s="2"/>
      <c r="M145" s="2"/>
      <c r="N145" s="2"/>
      <c r="O145" s="2"/>
      <c r="P145" s="2"/>
      <c r="Q145" s="2"/>
      <c r="R145" s="2"/>
      <c r="S145" s="2"/>
      <c r="T145" s="2"/>
      <c r="U145" s="2"/>
    </row>
    <row r="146" spans="1:21">
      <c r="A146" s="310"/>
      <c r="C146" s="890"/>
      <c r="D146" s="2"/>
      <c r="E146" s="2"/>
      <c r="F146" s="2"/>
      <c r="G146" s="2"/>
      <c r="H146" s="2"/>
      <c r="I146" s="2"/>
      <c r="J146" s="2"/>
      <c r="K146" s="2"/>
      <c r="L146" s="2"/>
      <c r="M146" s="2"/>
      <c r="N146" s="2"/>
      <c r="O146" s="2"/>
      <c r="P146" s="2"/>
      <c r="Q146" s="2"/>
      <c r="R146" s="2"/>
      <c r="S146" s="2"/>
      <c r="T146" s="2"/>
      <c r="U146" s="2"/>
    </row>
    <row r="147" spans="1:21">
      <c r="C147" s="890">
        <f>MAX($C$123:C146)+1</f>
        <v>14</v>
      </c>
      <c r="D147" s="2" t="s">
        <v>60</v>
      </c>
      <c r="E147" s="2"/>
      <c r="F147" s="2"/>
      <c r="G147" s="2"/>
      <c r="H147" s="2"/>
      <c r="I147" s="2"/>
      <c r="J147" s="2" t="str">
        <f>Aannames!H96</f>
        <v>Afslag op Lysprys :</v>
      </c>
      <c r="K147" s="2"/>
      <c r="L147" s="9">
        <f>Aannames!J96</f>
        <v>10</v>
      </c>
      <c r="M147" s="153" t="s">
        <v>28</v>
      </c>
      <c r="N147" s="2"/>
      <c r="O147" s="2"/>
      <c r="P147" s="2"/>
      <c r="Q147" s="2"/>
      <c r="R147" s="2"/>
      <c r="S147" s="2"/>
      <c r="T147" s="2"/>
      <c r="U147" s="2"/>
    </row>
    <row r="148" spans="1:21">
      <c r="C148" s="3"/>
      <c r="D148" s="28" t="str">
        <f>Aannames!C97</f>
        <v>* Bron: Opsomming van Agfacts (www.agfacts.co.za) : Effektief 1 Februarie 2017</v>
      </c>
      <c r="E148" s="28"/>
      <c r="F148" s="6"/>
      <c r="H148" s="6"/>
      <c r="I148" s="7"/>
      <c r="J148" s="2"/>
      <c r="K148" s="2"/>
      <c r="L148" s="27"/>
      <c r="M148" s="2"/>
      <c r="N148" s="2"/>
      <c r="O148" s="2"/>
      <c r="P148" s="2"/>
      <c r="Q148" s="2"/>
      <c r="R148" s="2"/>
      <c r="S148" s="2"/>
      <c r="T148" s="2"/>
      <c r="U148" s="2"/>
    </row>
    <row r="149" spans="1:21">
      <c r="C149" s="2"/>
      <c r="D149" s="2"/>
      <c r="E149" s="2"/>
      <c r="F149" s="981" t="s">
        <v>68</v>
      </c>
      <c r="G149" s="981"/>
      <c r="H149" s="19" t="s">
        <v>65</v>
      </c>
      <c r="I149" s="2"/>
      <c r="K149" s="19" t="s">
        <v>66</v>
      </c>
      <c r="L149" s="2"/>
      <c r="N149" s="2"/>
      <c r="O149" s="2"/>
      <c r="P149" s="2"/>
      <c r="Q149" s="2"/>
      <c r="R149" s="2"/>
      <c r="S149" s="2"/>
      <c r="T149" s="2"/>
      <c r="U149" s="2"/>
    </row>
    <row r="150" spans="1:21">
      <c r="C150" s="2"/>
      <c r="D150" s="2"/>
      <c r="E150" s="2"/>
      <c r="F150" s="232">
        <f>Aannames!E99</f>
        <v>0</v>
      </c>
      <c r="G150" s="452" t="str">
        <f>"- "&amp;F151-1</f>
        <v>- 59</v>
      </c>
      <c r="H150" s="548">
        <f>Aannames!J99</f>
        <v>6880</v>
      </c>
      <c r="I150" s="747" t="str">
        <f>Aannames!K99</f>
        <v>- 8,250 per kW</v>
      </c>
      <c r="J150" s="69"/>
      <c r="K150" s="548">
        <f>Aannames!M99</f>
        <v>7330</v>
      </c>
      <c r="L150" s="746" t="str">
        <f>Aannames!N99</f>
        <v>- 10,265 per kW</v>
      </c>
      <c r="N150" s="2"/>
      <c r="O150" s="2"/>
      <c r="P150" s="2"/>
      <c r="Q150" s="2"/>
      <c r="R150" s="2"/>
      <c r="S150" s="2"/>
      <c r="T150" s="2"/>
      <c r="U150" s="2"/>
    </row>
    <row r="151" spans="1:21">
      <c r="C151" s="2"/>
      <c r="D151" s="2"/>
      <c r="E151" s="2"/>
      <c r="F151" s="232">
        <f>Aannames!E100</f>
        <v>60</v>
      </c>
      <c r="G151" s="452" t="str">
        <f t="shared" ref="G151:G154" si="74">"- "&amp;F152-1</f>
        <v>- 119</v>
      </c>
      <c r="H151" s="548">
        <f>Aannames!J100</f>
        <v>8250</v>
      </c>
      <c r="I151" s="747" t="str">
        <f>Aannames!K100</f>
        <v>per kW</v>
      </c>
      <c r="J151" s="69"/>
      <c r="K151" s="548">
        <f>Aannames!M100</f>
        <v>10265</v>
      </c>
      <c r="L151" s="746" t="str">
        <f>Aannames!N100</f>
        <v>- 13,440 per kW</v>
      </c>
      <c r="N151" s="2"/>
      <c r="O151" s="2"/>
      <c r="P151" s="2"/>
      <c r="Q151" s="2"/>
      <c r="R151" s="2"/>
      <c r="S151" s="2"/>
      <c r="T151" s="2"/>
      <c r="U151" s="2"/>
    </row>
    <row r="152" spans="1:21">
      <c r="C152" s="2"/>
      <c r="D152" s="2"/>
      <c r="E152" s="2"/>
      <c r="F152" s="232">
        <f>Aannames!E101</f>
        <v>120</v>
      </c>
      <c r="G152" s="452" t="str">
        <f t="shared" si="74"/>
        <v>- 179</v>
      </c>
      <c r="H152" s="232"/>
      <c r="I152" s="233"/>
      <c r="J152" s="2"/>
      <c r="K152" s="548">
        <f>Aannames!M101</f>
        <v>13440</v>
      </c>
      <c r="L152" s="746" t="str">
        <f>Aannames!N101</f>
        <v>- 15,540 per kW</v>
      </c>
      <c r="N152" s="2"/>
      <c r="O152" s="2"/>
      <c r="P152" s="2"/>
      <c r="Q152" s="2"/>
      <c r="R152" s="2"/>
      <c r="S152" s="2"/>
      <c r="T152" s="2"/>
      <c r="U152" s="2"/>
    </row>
    <row r="153" spans="1:21">
      <c r="C153" s="2"/>
      <c r="D153" s="2"/>
      <c r="E153" s="2"/>
      <c r="F153" s="232">
        <f>Aannames!E102</f>
        <v>180</v>
      </c>
      <c r="G153" s="452" t="str">
        <f t="shared" si="74"/>
        <v>- 239</v>
      </c>
      <c r="H153" s="232"/>
      <c r="I153" s="233"/>
      <c r="J153" s="2"/>
      <c r="K153" s="548">
        <f>Aannames!M102</f>
        <v>15540</v>
      </c>
      <c r="L153" s="746" t="str">
        <f>Aannames!N102</f>
        <v>- 15,660 per kW</v>
      </c>
      <c r="N153" s="2"/>
      <c r="O153" s="2"/>
      <c r="P153" s="2"/>
      <c r="Q153" s="2"/>
      <c r="R153" s="2"/>
      <c r="S153" s="2"/>
      <c r="T153" s="2"/>
      <c r="U153" s="2"/>
    </row>
    <row r="154" spans="1:21">
      <c r="C154" s="2"/>
      <c r="D154" s="2"/>
      <c r="E154" s="2"/>
      <c r="F154" s="232">
        <f>Aannames!E103</f>
        <v>240</v>
      </c>
      <c r="G154" s="452" t="str">
        <f t="shared" si="74"/>
        <v>- 299</v>
      </c>
      <c r="H154" s="232"/>
      <c r="I154" s="233"/>
      <c r="J154" s="2"/>
      <c r="K154" s="548">
        <f>Aannames!M103</f>
        <v>15660</v>
      </c>
      <c r="L154" s="746" t="str">
        <f>Aannames!N103</f>
        <v>- 16,000 per kW</v>
      </c>
      <c r="N154" s="2"/>
      <c r="O154" s="2"/>
      <c r="P154" s="2"/>
      <c r="Q154" s="2"/>
      <c r="R154" s="2"/>
      <c r="S154" s="2"/>
      <c r="T154" s="2"/>
      <c r="U154" s="2"/>
    </row>
    <row r="155" spans="1:21">
      <c r="C155" s="3"/>
      <c r="D155" s="2"/>
      <c r="E155" s="2"/>
      <c r="F155" s="232">
        <f>Aannames!E104</f>
        <v>300</v>
      </c>
      <c r="G155" s="452" t="s">
        <v>0</v>
      </c>
      <c r="H155" s="232"/>
      <c r="I155" s="233"/>
      <c r="J155" s="2"/>
      <c r="K155" s="548">
        <f>Aannames!M104</f>
        <v>16000</v>
      </c>
      <c r="L155" s="746" t="str">
        <f>Aannames!N104</f>
        <v>per kW</v>
      </c>
      <c r="N155" s="2"/>
      <c r="O155" s="2"/>
      <c r="P155" s="2"/>
      <c r="Q155" s="2"/>
      <c r="R155" s="2"/>
      <c r="S155" s="2"/>
      <c r="T155" s="2"/>
      <c r="U155" s="2"/>
    </row>
    <row r="156" spans="1:21">
      <c r="A156" s="30" t="str">
        <f>IF(ISNUMBER(D156),ROW(),"")</f>
        <v/>
      </c>
    </row>
    <row r="157" spans="1:21"/>
    <row r="158" spans="1:21"/>
    <row r="159" spans="1:21"/>
    <row r="160" spans="1:21"/>
    <row r="161"/>
    <row r="162"/>
    <row r="163"/>
    <row r="164"/>
    <row r="165"/>
    <row r="166"/>
    <row r="167"/>
    <row r="168"/>
    <row r="169"/>
    <row r="170"/>
    <row r="171"/>
  </sheetData>
  <sheetProtection algorithmName="SHA-512" hashValue="L5EMgvBXDNznUR9Im/+/17Jr30eF4zjOlcWWQLvsibtYCAY1XE8bP8iWrwsDIBzhYsJZGhvE9PANYHNOflBNnA==" saltValue="HmPAO8kYCqryHbHTTVe7lA==" spinCount="100000" sheet="1" objects="1" sort="0" autoFilter="0" pivotTables="0"/>
  <mergeCells count="20">
    <mergeCell ref="C4:D4"/>
    <mergeCell ref="D5:D6"/>
    <mergeCell ref="C5:C6"/>
    <mergeCell ref="F149:G149"/>
    <mergeCell ref="I5:I6"/>
    <mergeCell ref="H5:H6"/>
    <mergeCell ref="G5:G6"/>
    <mergeCell ref="F5:F6"/>
    <mergeCell ref="R4:U4"/>
    <mergeCell ref="K4:Q4"/>
    <mergeCell ref="O5:Q5"/>
    <mergeCell ref="J5:J6"/>
    <mergeCell ref="G4:J4"/>
    <mergeCell ref="K5:K6"/>
    <mergeCell ref="R5:U5"/>
    <mergeCell ref="W4:Y4"/>
    <mergeCell ref="W5:W6"/>
    <mergeCell ref="X5:X6"/>
    <mergeCell ref="Y5:Y6"/>
    <mergeCell ref="AA4:AC4"/>
  </mergeCells>
  <hyperlinks>
    <hyperlink ref="M133" r:id="rId1"/>
  </hyperlinks>
  <pageMargins left="0.51181102362204722" right="0.51181102362204722" top="0.39370078740157483" bottom="0.51181102362204722" header="0.31496062992125984" footer="0.31496062992125984"/>
  <pageSetup paperSize="9" scale="79" fitToWidth="0" fitToHeight="0" orientation="landscape" r:id="rId2"/>
  <rowBreaks count="3" manualBreakCount="3">
    <brk id="35" min="1" max="20" man="1"/>
    <brk id="78" min="1" max="20" man="1"/>
    <brk id="118"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00FF"/>
  </sheetPr>
  <dimension ref="A1:AD335"/>
  <sheetViews>
    <sheetView showGridLines="0" zoomScale="80" zoomScaleNormal="80" zoomScaleSheetLayoutView="80" workbookViewId="0">
      <pane ySplit="8" topLeftCell="A9" activePane="bottomLeft" state="frozen"/>
      <selection activeCell="E241" sqref="E241"/>
      <selection pane="bottomLeft" activeCell="A9" sqref="A9"/>
    </sheetView>
  </sheetViews>
  <sheetFormatPr defaultColWidth="0" defaultRowHeight="12.75" zeroHeight="1"/>
  <cols>
    <col min="1" max="1" width="4.77734375" style="47" customWidth="1"/>
    <col min="2" max="2" width="4.77734375" style="5" customWidth="1"/>
    <col min="3" max="4" width="4.33203125" style="5" customWidth="1"/>
    <col min="5" max="5" width="28" style="5" customWidth="1"/>
    <col min="6" max="6" width="6.109375" style="137" bestFit="1" customWidth="1"/>
    <col min="7" max="7" width="10.88671875" style="5" customWidth="1"/>
    <col min="8" max="8" width="6.44140625" style="5" customWidth="1"/>
    <col min="9" max="9" width="6.6640625" style="5" customWidth="1"/>
    <col min="10" max="10" width="4" style="5" customWidth="1"/>
    <col min="11" max="11" width="8.5546875" style="5" customWidth="1"/>
    <col min="12" max="12" width="9" style="5" customWidth="1"/>
    <col min="13" max="13" width="6.88671875" style="5" customWidth="1"/>
    <col min="14" max="14" width="8.109375" style="5" customWidth="1"/>
    <col min="15" max="15" width="7.77734375" style="5" customWidth="1"/>
    <col min="16" max="16" width="8.109375" style="5" customWidth="1"/>
    <col min="17" max="17" width="7.21875" style="5" customWidth="1"/>
    <col min="18" max="18" width="6.88671875" style="5" customWidth="1"/>
    <col min="19" max="19" width="7.21875" style="5" customWidth="1"/>
    <col min="20" max="20" width="1.109375" style="5" customWidth="1"/>
    <col min="21" max="22" width="7.21875" style="5" hidden="1" customWidth="1"/>
    <col min="23" max="23" width="1.109375" style="5" customWidth="1"/>
    <col min="24" max="24" width="8.88671875" style="68" customWidth="1"/>
    <col min="25" max="26" width="1.109375" style="5" customWidth="1"/>
    <col min="27" max="30" width="0" style="69" hidden="1" customWidth="1"/>
    <col min="31" max="16384" width="8.88671875" style="69" hidden="1"/>
  </cols>
  <sheetData>
    <row r="1" spans="1:26"/>
    <row r="2" spans="1:26" s="452" customFormat="1" ht="30" customHeight="1" thickBot="1">
      <c r="A2" s="31"/>
      <c r="B2" s="329" t="s">
        <v>885</v>
      </c>
      <c r="C2" s="330"/>
      <c r="D2" s="330"/>
      <c r="E2" s="330"/>
      <c r="F2" s="330"/>
      <c r="G2" s="330"/>
      <c r="H2" s="330"/>
      <c r="I2" s="330"/>
      <c r="J2" s="330"/>
      <c r="K2" s="330"/>
      <c r="L2" s="330"/>
      <c r="M2" s="330"/>
      <c r="N2" s="330"/>
      <c r="O2" s="330"/>
      <c r="P2" s="330"/>
      <c r="Q2" s="330"/>
      <c r="R2" s="330"/>
      <c r="S2" s="331"/>
      <c r="T2" s="158"/>
      <c r="U2" s="330"/>
      <c r="V2" s="331"/>
      <c r="W2" s="158"/>
      <c r="X2" s="162"/>
      <c r="Y2" s="158"/>
      <c r="Z2" s="158"/>
    </row>
    <row r="3" spans="1:26"/>
    <row r="4" spans="1:26" ht="12.75" customHeight="1">
      <c r="A4" s="47" t="str">
        <f>IF(ISNUMBER(D4),ROW(),"")</f>
        <v/>
      </c>
      <c r="C4" s="991"/>
      <c r="D4" s="992"/>
      <c r="E4" s="893"/>
      <c r="F4" s="131"/>
      <c r="G4" s="25"/>
      <c r="H4" s="972" t="s">
        <v>78</v>
      </c>
      <c r="I4" s="973"/>
      <c r="J4" s="974"/>
      <c r="K4" s="985" t="s">
        <v>94</v>
      </c>
      <c r="L4" s="986"/>
      <c r="M4" s="986"/>
      <c r="N4" s="987"/>
      <c r="O4" s="972" t="s">
        <v>93</v>
      </c>
      <c r="P4" s="973"/>
      <c r="Q4" s="974"/>
      <c r="R4" s="995" t="s">
        <v>92</v>
      </c>
      <c r="S4" s="996"/>
      <c r="U4" s="995" t="s">
        <v>1125</v>
      </c>
      <c r="V4" s="996"/>
      <c r="X4" s="210"/>
      <c r="Y4" s="57"/>
      <c r="Z4" s="57"/>
    </row>
    <row r="5" spans="1:26" ht="12.75" customHeight="1">
      <c r="C5" s="975" t="s">
        <v>44</v>
      </c>
      <c r="D5" s="977" t="s">
        <v>47</v>
      </c>
      <c r="E5" s="116" t="s">
        <v>114</v>
      </c>
      <c r="F5" s="132" t="s">
        <v>171</v>
      </c>
      <c r="G5" s="979" t="s">
        <v>73</v>
      </c>
      <c r="H5" s="975" t="s">
        <v>76</v>
      </c>
      <c r="I5" s="977" t="s">
        <v>75</v>
      </c>
      <c r="J5" s="979" t="s">
        <v>237</v>
      </c>
      <c r="K5" s="975" t="s">
        <v>48</v>
      </c>
      <c r="L5" s="977" t="s">
        <v>49</v>
      </c>
      <c r="M5" s="977" t="s">
        <v>50</v>
      </c>
      <c r="N5" s="983" t="s">
        <v>39</v>
      </c>
      <c r="O5" s="975" t="s">
        <v>45</v>
      </c>
      <c r="P5" s="977" t="s">
        <v>51</v>
      </c>
      <c r="Q5" s="983" t="s">
        <v>39</v>
      </c>
      <c r="R5" s="997"/>
      <c r="S5" s="983"/>
      <c r="U5" s="997"/>
      <c r="V5" s="983"/>
      <c r="X5" s="993" t="s">
        <v>1122</v>
      </c>
      <c r="Y5" s="75"/>
      <c r="Z5" s="75"/>
    </row>
    <row r="6" spans="1:26">
      <c r="A6" s="31" t="s">
        <v>72</v>
      </c>
      <c r="C6" s="976"/>
      <c r="D6" s="978"/>
      <c r="E6" s="895"/>
      <c r="F6" s="133"/>
      <c r="G6" s="980"/>
      <c r="H6" s="976"/>
      <c r="I6" s="978"/>
      <c r="J6" s="980"/>
      <c r="K6" s="976"/>
      <c r="L6" s="978"/>
      <c r="M6" s="978"/>
      <c r="N6" s="984"/>
      <c r="O6" s="976"/>
      <c r="P6" s="978"/>
      <c r="Q6" s="984"/>
      <c r="R6" s="899" t="s">
        <v>43</v>
      </c>
      <c r="S6" s="145" t="s">
        <v>39</v>
      </c>
      <c r="U6" s="784" t="s">
        <v>43</v>
      </c>
      <c r="V6" s="145" t="s">
        <v>39</v>
      </c>
      <c r="X6" s="994"/>
      <c r="Y6" s="75"/>
      <c r="Z6" s="75"/>
    </row>
    <row r="7" spans="1:26">
      <c r="A7" s="47" t="str">
        <f>IF(ISNUMBER(D7),ROW(),"")</f>
        <v/>
      </c>
      <c r="B7" s="16"/>
      <c r="C7" s="32"/>
      <c r="D7" s="18"/>
      <c r="E7" s="18"/>
      <c r="F7" s="134" t="s">
        <v>27</v>
      </c>
      <c r="G7" s="18" t="s">
        <v>52</v>
      </c>
      <c r="H7" s="41" t="s">
        <v>77</v>
      </c>
      <c r="I7" s="42" t="s">
        <v>77</v>
      </c>
      <c r="J7" s="43" t="s">
        <v>28</v>
      </c>
      <c r="K7" s="41" t="s">
        <v>523</v>
      </c>
      <c r="L7" s="42" t="s">
        <v>523</v>
      </c>
      <c r="M7" s="42" t="s">
        <v>523</v>
      </c>
      <c r="N7" s="61" t="s">
        <v>523</v>
      </c>
      <c r="O7" s="18" t="s">
        <v>523</v>
      </c>
      <c r="P7" s="60" t="s">
        <v>523</v>
      </c>
      <c r="Q7" s="61" t="s">
        <v>523</v>
      </c>
      <c r="R7" s="146" t="s">
        <v>523</v>
      </c>
      <c r="S7" s="53" t="s">
        <v>523</v>
      </c>
      <c r="U7" s="146" t="s">
        <v>523</v>
      </c>
      <c r="V7" s="53" t="s">
        <v>523</v>
      </c>
      <c r="X7" s="768" t="s">
        <v>1123</v>
      </c>
      <c r="Y7" s="73"/>
      <c r="Z7" s="73"/>
    </row>
    <row r="8" spans="1:26">
      <c r="A8" s="47" t="str">
        <f>IF(ISNUMBER(D8),ROW(),"")</f>
        <v/>
      </c>
      <c r="B8" s="16"/>
      <c r="C8" s="2"/>
      <c r="D8" s="2"/>
      <c r="E8" s="2"/>
      <c r="F8" s="135"/>
      <c r="G8" s="2"/>
      <c r="K8" s="2"/>
      <c r="L8" s="2"/>
      <c r="M8" s="2"/>
      <c r="N8" s="2"/>
      <c r="O8" s="2"/>
      <c r="P8" s="2"/>
      <c r="Q8" s="2"/>
      <c r="R8" s="2"/>
      <c r="S8" s="2"/>
      <c r="T8" s="16"/>
      <c r="U8" s="2"/>
      <c r="V8" s="2"/>
      <c r="W8" s="16"/>
      <c r="X8" s="73"/>
      <c r="Y8" s="16"/>
      <c r="Z8" s="16"/>
    </row>
    <row r="9" spans="1:26" s="454" customFormat="1" ht="23.25" customHeight="1" thickBot="1">
      <c r="A9" s="177"/>
      <c r="B9" s="287">
        <v>3</v>
      </c>
      <c r="C9" s="294" t="s">
        <v>500</v>
      </c>
      <c r="D9" s="295"/>
      <c r="E9" s="296"/>
      <c r="F9" s="297"/>
      <c r="G9" s="297"/>
      <c r="H9" s="297"/>
      <c r="I9" s="298"/>
      <c r="J9" s="298"/>
      <c r="K9" s="298"/>
      <c r="L9" s="298"/>
      <c r="M9" s="298"/>
      <c r="N9" s="298"/>
      <c r="O9" s="298"/>
      <c r="P9" s="298"/>
      <c r="Q9" s="298"/>
      <c r="R9" s="298"/>
      <c r="S9" s="299"/>
      <c r="T9" s="178"/>
      <c r="U9" s="777"/>
      <c r="V9" s="299"/>
      <c r="W9" s="178"/>
      <c r="X9" s="179"/>
      <c r="Y9" s="180"/>
      <c r="Z9" s="180"/>
    </row>
    <row r="10" spans="1:26">
      <c r="A10" s="149"/>
      <c r="B10" s="16"/>
      <c r="C10" s="2"/>
      <c r="D10" s="2"/>
      <c r="E10" s="2"/>
      <c r="F10" s="2"/>
      <c r="G10" s="2"/>
      <c r="H10" s="2"/>
      <c r="I10" s="2"/>
      <c r="J10" s="2"/>
      <c r="K10" s="2"/>
      <c r="L10" s="2"/>
      <c r="M10" s="2"/>
      <c r="N10" s="2"/>
      <c r="O10" s="2"/>
      <c r="P10" s="2"/>
      <c r="R10" s="57"/>
      <c r="S10" s="57"/>
      <c r="T10" s="16"/>
      <c r="U10" s="771"/>
      <c r="V10" s="771"/>
      <c r="W10" s="16"/>
      <c r="X10" s="78"/>
      <c r="Y10" s="79"/>
      <c r="Z10" s="194"/>
    </row>
    <row r="11" spans="1:26">
      <c r="A11" s="310"/>
      <c r="B11" s="16"/>
      <c r="C11" s="153" t="s">
        <v>1126</v>
      </c>
      <c r="D11" s="2"/>
      <c r="E11" s="2"/>
      <c r="F11" s="2"/>
      <c r="G11" s="2"/>
      <c r="H11" s="2"/>
      <c r="I11" s="2"/>
      <c r="J11" s="2"/>
      <c r="K11" s="2"/>
      <c r="L11" s="2"/>
      <c r="M11" s="2"/>
      <c r="N11" s="2"/>
      <c r="O11" s="2"/>
      <c r="P11" s="2"/>
      <c r="R11" s="771"/>
      <c r="S11" s="771"/>
      <c r="T11" s="16"/>
      <c r="U11" s="769"/>
      <c r="V11" s="770"/>
      <c r="W11" s="16"/>
      <c r="X11" s="78"/>
      <c r="Y11" s="772"/>
      <c r="Z11" s="772"/>
    </row>
    <row r="12" spans="1:26">
      <c r="A12" s="310"/>
      <c r="B12" s="16"/>
      <c r="C12" s="153" t="s">
        <v>1516</v>
      </c>
      <c r="D12" s="2"/>
      <c r="E12" s="2"/>
      <c r="F12" s="2"/>
      <c r="G12" s="2"/>
      <c r="H12" s="2"/>
      <c r="I12" s="2"/>
      <c r="J12" s="2"/>
      <c r="K12" s="2"/>
      <c r="L12" s="2"/>
      <c r="M12" s="2"/>
      <c r="N12" s="2"/>
      <c r="O12" s="2"/>
      <c r="P12" s="2"/>
      <c r="R12" s="771"/>
      <c r="S12" s="771"/>
      <c r="T12" s="16"/>
      <c r="U12" s="787">
        <v>0.45</v>
      </c>
      <c r="V12" s="788" t="s">
        <v>50</v>
      </c>
      <c r="W12" s="16"/>
      <c r="X12" s="78"/>
      <c r="Y12" s="772"/>
      <c r="Z12" s="772"/>
    </row>
    <row r="13" spans="1:26">
      <c r="A13" s="310"/>
      <c r="B13" s="16"/>
      <c r="C13" s="2"/>
      <c r="D13" s="2"/>
      <c r="E13" s="2"/>
      <c r="F13" s="2"/>
      <c r="G13" s="2"/>
      <c r="H13" s="2"/>
      <c r="I13" s="2"/>
      <c r="J13" s="2"/>
      <c r="K13" s="2"/>
      <c r="L13" s="2"/>
      <c r="M13" s="2"/>
      <c r="N13" s="2"/>
      <c r="O13" s="2"/>
      <c r="P13" s="2"/>
      <c r="R13" s="771"/>
      <c r="S13" s="771"/>
      <c r="T13" s="16"/>
      <c r="U13" s="771"/>
      <c r="V13" s="771"/>
      <c r="W13" s="16"/>
      <c r="X13" s="78"/>
      <c r="Y13" s="772"/>
      <c r="Z13" s="772"/>
    </row>
    <row r="14" spans="1:26" ht="13.5" thickBot="1">
      <c r="A14" s="310"/>
      <c r="B14" s="266">
        <f>MAX($B$8:B10)+0.01</f>
        <v>3.01</v>
      </c>
      <c r="C14" s="97" t="s">
        <v>1069</v>
      </c>
      <c r="D14" s="95"/>
      <c r="E14" s="95"/>
      <c r="F14" s="136"/>
      <c r="G14" s="95"/>
      <c r="H14" s="95"/>
      <c r="I14" s="95"/>
      <c r="J14" s="95"/>
      <c r="K14" s="95"/>
      <c r="L14" s="95"/>
      <c r="M14" s="95"/>
      <c r="N14" s="95"/>
      <c r="O14" s="95"/>
      <c r="P14" s="95"/>
      <c r="Q14" s="95"/>
      <c r="R14" s="95"/>
      <c r="S14" s="96"/>
      <c r="U14" s="785"/>
      <c r="V14" s="96"/>
      <c r="X14" s="451"/>
    </row>
    <row r="15" spans="1:26">
      <c r="A15" s="310" t="str">
        <f>IF(ISNUMBER(D15),ROW(),"")</f>
        <v/>
      </c>
      <c r="B15" s="16"/>
      <c r="C15" s="33"/>
      <c r="D15" s="2"/>
      <c r="E15" s="62"/>
      <c r="F15" s="135"/>
      <c r="G15" s="2"/>
      <c r="H15" s="2"/>
      <c r="I15" s="2"/>
      <c r="J15" s="2"/>
      <c r="K15" s="2"/>
      <c r="L15" s="2"/>
      <c r="M15" s="2"/>
      <c r="N15" s="2"/>
      <c r="O15" s="2"/>
      <c r="P15" s="2"/>
      <c r="Q15" s="2"/>
      <c r="R15" s="2"/>
      <c r="S15" s="15"/>
      <c r="U15" s="33"/>
      <c r="V15" s="15"/>
      <c r="X15" s="448"/>
    </row>
    <row r="16" spans="1:26">
      <c r="A16" s="310"/>
      <c r="B16" s="16"/>
      <c r="C16" s="181" t="s">
        <v>1070</v>
      </c>
      <c r="D16" s="2"/>
      <c r="E16" s="62"/>
      <c r="F16" s="135"/>
      <c r="G16" s="2"/>
      <c r="H16" s="2"/>
      <c r="I16" s="2"/>
      <c r="J16" s="2"/>
      <c r="K16" s="2"/>
      <c r="L16" s="2"/>
      <c r="M16" s="2"/>
      <c r="N16" s="2"/>
      <c r="O16" s="2"/>
      <c r="P16" s="2"/>
      <c r="Q16" s="2"/>
      <c r="R16" s="2"/>
      <c r="S16" s="90"/>
      <c r="U16" s="33"/>
      <c r="V16" s="15"/>
      <c r="X16" s="448"/>
    </row>
    <row r="17" spans="1:26">
      <c r="A17" s="310"/>
      <c r="B17" s="16"/>
      <c r="C17" s="33"/>
      <c r="D17" s="2"/>
      <c r="E17" s="62"/>
      <c r="F17" s="135"/>
      <c r="G17" s="2"/>
      <c r="H17" s="2"/>
      <c r="I17" s="2"/>
      <c r="J17" s="2"/>
      <c r="K17" s="2"/>
      <c r="L17" s="2"/>
      <c r="M17" s="2"/>
      <c r="N17" s="2"/>
      <c r="O17" s="2"/>
      <c r="P17" s="2"/>
      <c r="Q17" s="2"/>
      <c r="R17" s="2"/>
      <c r="S17" s="90"/>
      <c r="U17" s="591"/>
      <c r="V17" s="586"/>
      <c r="X17" s="448"/>
    </row>
    <row r="18" spans="1:26">
      <c r="A18" s="310"/>
      <c r="B18" s="16"/>
      <c r="C18" s="681"/>
      <c r="D18" s="2"/>
      <c r="E18" s="188" t="s">
        <v>1072</v>
      </c>
      <c r="F18" s="536"/>
      <c r="G18" s="678">
        <v>500000</v>
      </c>
      <c r="H18" s="629">
        <v>4000</v>
      </c>
      <c r="I18" s="629">
        <v>300</v>
      </c>
      <c r="J18" s="630">
        <v>40</v>
      </c>
      <c r="K18" s="594">
        <f t="shared" ref="K18:K23" si="0">MROUND($G18*(1-$F$256/100)/H18,0.05)</f>
        <v>112.5</v>
      </c>
      <c r="L18" s="594">
        <f t="shared" ref="L18:L23" si="1">MROUND($G18*(1+$F$256/100)/2*$G$263/100/I18,0.05)</f>
        <v>16.05</v>
      </c>
      <c r="M18" s="600">
        <f t="shared" ref="M18:M23" si="2">MROUND($G18*(1+$F$256/100)/2*$F$257/100/I18,0.05)</f>
        <v>96.25</v>
      </c>
      <c r="N18" s="601">
        <f>SUM(K18:M18)</f>
        <v>224.8</v>
      </c>
      <c r="O18" s="594">
        <f t="shared" ref="O18:O23" si="3">MROUND(IF(ISNUMBER(C18),$C18*$K$268*$F$258,0),0.05)</f>
        <v>0</v>
      </c>
      <c r="P18" s="600">
        <f>MROUND($G18*J18/100/H18,0.05)</f>
        <v>50</v>
      </c>
      <c r="Q18" s="631">
        <f>SUM(O18:P18)</f>
        <v>50</v>
      </c>
      <c r="R18" s="594">
        <f>N18+P18</f>
        <v>274.8</v>
      </c>
      <c r="S18" s="599">
        <f>N18+Q18</f>
        <v>274.8</v>
      </c>
      <c r="U18" s="603">
        <f>R18-M18*(1-U$12)</f>
        <v>221.86250000000001</v>
      </c>
      <c r="V18" s="599">
        <f t="shared" ref="V18" si="4">U18+O18</f>
        <v>221.86250000000001</v>
      </c>
      <c r="X18" s="448"/>
    </row>
    <row r="19" spans="1:26">
      <c r="A19" s="310"/>
      <c r="B19" s="16"/>
      <c r="C19" s="681"/>
      <c r="D19" s="2"/>
      <c r="E19" s="188" t="s">
        <v>1071</v>
      </c>
      <c r="F19" s="536"/>
      <c r="G19" s="678">
        <v>570000</v>
      </c>
      <c r="H19" s="629">
        <v>4000</v>
      </c>
      <c r="I19" s="629">
        <v>300</v>
      </c>
      <c r="J19" s="630">
        <v>40</v>
      </c>
      <c r="K19" s="594">
        <f t="shared" si="0"/>
        <v>128.25</v>
      </c>
      <c r="L19" s="594">
        <f t="shared" si="1"/>
        <v>18.3</v>
      </c>
      <c r="M19" s="600">
        <f t="shared" si="2"/>
        <v>109.7</v>
      </c>
      <c r="N19" s="601">
        <f t="shared" ref="N19:N23" si="5">SUM(K19:M19)</f>
        <v>256.25</v>
      </c>
      <c r="O19" s="594">
        <f t="shared" si="3"/>
        <v>0</v>
      </c>
      <c r="P19" s="600">
        <f t="shared" ref="P19:P23" si="6">MROUND($G19*J19/100/H19,0.05)</f>
        <v>57</v>
      </c>
      <c r="Q19" s="631">
        <f t="shared" ref="Q19:Q23" si="7">SUM(O19:P19)</f>
        <v>57</v>
      </c>
      <c r="R19" s="594">
        <f t="shared" ref="R19:R23" si="8">N19+P19</f>
        <v>313.25</v>
      </c>
      <c r="S19" s="599">
        <f t="shared" ref="S19:S23" si="9">N19+Q19</f>
        <v>313.25</v>
      </c>
      <c r="U19" s="603">
        <f t="shared" ref="U19:U23" si="10">R19-M19*(1-U$12)</f>
        <v>252.91499999999999</v>
      </c>
      <c r="V19" s="599">
        <f t="shared" ref="V19:V23" si="11">U19+O19</f>
        <v>252.91499999999999</v>
      </c>
      <c r="X19" s="448"/>
    </row>
    <row r="20" spans="1:26">
      <c r="A20" s="310"/>
      <c r="B20" s="16"/>
      <c r="C20" s="681"/>
      <c r="D20" s="2"/>
      <c r="E20" s="188" t="s">
        <v>971</v>
      </c>
      <c r="F20" s="536"/>
      <c r="G20" s="678">
        <v>800000</v>
      </c>
      <c r="H20" s="629">
        <v>4000</v>
      </c>
      <c r="I20" s="629">
        <v>300</v>
      </c>
      <c r="J20" s="630">
        <v>40</v>
      </c>
      <c r="K20" s="594">
        <f t="shared" si="0"/>
        <v>180</v>
      </c>
      <c r="L20" s="594">
        <f t="shared" si="1"/>
        <v>25.650000000000002</v>
      </c>
      <c r="M20" s="600">
        <f t="shared" si="2"/>
        <v>154</v>
      </c>
      <c r="N20" s="601">
        <f t="shared" si="5"/>
        <v>359.65</v>
      </c>
      <c r="O20" s="594">
        <f t="shared" si="3"/>
        <v>0</v>
      </c>
      <c r="P20" s="600">
        <f t="shared" si="6"/>
        <v>80</v>
      </c>
      <c r="Q20" s="631">
        <f t="shared" si="7"/>
        <v>80</v>
      </c>
      <c r="R20" s="594">
        <f t="shared" si="8"/>
        <v>439.65</v>
      </c>
      <c r="S20" s="599">
        <f t="shared" si="9"/>
        <v>439.65</v>
      </c>
      <c r="U20" s="603">
        <f t="shared" si="10"/>
        <v>354.95</v>
      </c>
      <c r="V20" s="599">
        <f t="shared" si="11"/>
        <v>354.95</v>
      </c>
      <c r="X20" s="448"/>
    </row>
    <row r="21" spans="1:26">
      <c r="A21" s="310"/>
      <c r="B21" s="16"/>
      <c r="C21" s="681"/>
      <c r="D21" s="2"/>
      <c r="E21" s="188" t="s">
        <v>969</v>
      </c>
      <c r="F21" s="536"/>
      <c r="G21" s="678">
        <v>1048850</v>
      </c>
      <c r="H21" s="629">
        <v>4000</v>
      </c>
      <c r="I21" s="629">
        <v>300</v>
      </c>
      <c r="J21" s="630">
        <v>40</v>
      </c>
      <c r="K21" s="594">
        <f t="shared" si="0"/>
        <v>236</v>
      </c>
      <c r="L21" s="594">
        <f t="shared" si="1"/>
        <v>33.65</v>
      </c>
      <c r="M21" s="600">
        <f t="shared" si="2"/>
        <v>201.9</v>
      </c>
      <c r="N21" s="601">
        <f t="shared" si="5"/>
        <v>471.54999999999995</v>
      </c>
      <c r="O21" s="594">
        <f t="shared" si="3"/>
        <v>0</v>
      </c>
      <c r="P21" s="600">
        <f t="shared" si="6"/>
        <v>104.9</v>
      </c>
      <c r="Q21" s="631">
        <f t="shared" si="7"/>
        <v>104.9</v>
      </c>
      <c r="R21" s="594">
        <f t="shared" si="8"/>
        <v>576.44999999999993</v>
      </c>
      <c r="S21" s="599">
        <f t="shared" si="9"/>
        <v>576.44999999999993</v>
      </c>
      <c r="U21" s="603">
        <f t="shared" si="10"/>
        <v>465.40499999999992</v>
      </c>
      <c r="V21" s="599">
        <f t="shared" si="11"/>
        <v>465.40499999999992</v>
      </c>
      <c r="X21" s="448"/>
    </row>
    <row r="22" spans="1:26">
      <c r="A22" s="310"/>
      <c r="B22" s="16"/>
      <c r="C22" s="681"/>
      <c r="D22" s="2"/>
      <c r="E22" s="188" t="s">
        <v>970</v>
      </c>
      <c r="F22" s="536"/>
      <c r="G22" s="678">
        <v>1400000</v>
      </c>
      <c r="H22" s="629">
        <v>4000</v>
      </c>
      <c r="I22" s="629">
        <v>300</v>
      </c>
      <c r="J22" s="630">
        <v>40</v>
      </c>
      <c r="K22" s="594">
        <f t="shared" si="0"/>
        <v>315</v>
      </c>
      <c r="L22" s="594">
        <f t="shared" si="1"/>
        <v>44.900000000000006</v>
      </c>
      <c r="M22" s="600">
        <f t="shared" si="2"/>
        <v>269.5</v>
      </c>
      <c r="N22" s="601">
        <f t="shared" si="5"/>
        <v>629.4</v>
      </c>
      <c r="O22" s="594">
        <f t="shared" si="3"/>
        <v>0</v>
      </c>
      <c r="P22" s="600">
        <f t="shared" si="6"/>
        <v>140</v>
      </c>
      <c r="Q22" s="631">
        <f t="shared" si="7"/>
        <v>140</v>
      </c>
      <c r="R22" s="594">
        <f t="shared" si="8"/>
        <v>769.4</v>
      </c>
      <c r="S22" s="599">
        <f t="shared" si="9"/>
        <v>769.4</v>
      </c>
      <c r="U22" s="603">
        <f t="shared" si="10"/>
        <v>621.17499999999995</v>
      </c>
      <c r="V22" s="599">
        <f t="shared" si="11"/>
        <v>621.17499999999995</v>
      </c>
      <c r="X22" s="448"/>
    </row>
    <row r="23" spans="1:26">
      <c r="A23" s="310"/>
      <c r="B23" s="16"/>
      <c r="C23" s="681"/>
      <c r="D23" s="2"/>
      <c r="E23" s="188" t="s">
        <v>972</v>
      </c>
      <c r="F23" s="536"/>
      <c r="G23" s="678">
        <v>450000</v>
      </c>
      <c r="H23" s="629">
        <v>4000</v>
      </c>
      <c r="I23" s="629">
        <v>300</v>
      </c>
      <c r="J23" s="630">
        <v>40</v>
      </c>
      <c r="K23" s="594">
        <f t="shared" si="0"/>
        <v>101.25</v>
      </c>
      <c r="L23" s="594">
        <f t="shared" si="1"/>
        <v>14.450000000000001</v>
      </c>
      <c r="M23" s="600">
        <f t="shared" si="2"/>
        <v>86.65</v>
      </c>
      <c r="N23" s="601">
        <f t="shared" si="5"/>
        <v>202.35000000000002</v>
      </c>
      <c r="O23" s="594">
        <f t="shared" si="3"/>
        <v>0</v>
      </c>
      <c r="P23" s="600">
        <f t="shared" si="6"/>
        <v>45</v>
      </c>
      <c r="Q23" s="631">
        <f t="shared" si="7"/>
        <v>45</v>
      </c>
      <c r="R23" s="594">
        <f t="shared" si="8"/>
        <v>247.35000000000002</v>
      </c>
      <c r="S23" s="599">
        <f t="shared" si="9"/>
        <v>247.35000000000002</v>
      </c>
      <c r="U23" s="603">
        <f t="shared" si="10"/>
        <v>199.69250000000002</v>
      </c>
      <c r="V23" s="599">
        <f t="shared" si="11"/>
        <v>199.69250000000002</v>
      </c>
      <c r="X23" s="448"/>
    </row>
    <row r="24" spans="1:26">
      <c r="A24" s="310"/>
      <c r="B24" s="16"/>
      <c r="C24" s="682"/>
      <c r="D24" s="20"/>
      <c r="E24" s="535"/>
      <c r="F24" s="138"/>
      <c r="G24" s="622"/>
      <c r="H24" s="626"/>
      <c r="I24" s="626"/>
      <c r="J24" s="626"/>
      <c r="K24" s="626"/>
      <c r="L24" s="626"/>
      <c r="M24" s="626"/>
      <c r="N24" s="626"/>
      <c r="O24" s="626"/>
      <c r="P24" s="626"/>
      <c r="Q24" s="626"/>
      <c r="R24" s="626"/>
      <c r="S24" s="627"/>
      <c r="U24" s="786"/>
      <c r="V24" s="627"/>
      <c r="X24" s="450"/>
    </row>
    <row r="25" spans="1:26">
      <c r="A25" s="310"/>
      <c r="B25" s="16"/>
      <c r="C25" s="2"/>
      <c r="D25" s="2"/>
      <c r="E25" s="2"/>
      <c r="F25" s="2"/>
      <c r="G25" s="2"/>
      <c r="H25" s="585"/>
      <c r="I25" s="585"/>
      <c r="J25" s="585"/>
      <c r="K25" s="585"/>
      <c r="L25" s="585"/>
      <c r="M25" s="585"/>
      <c r="N25" s="585"/>
      <c r="O25" s="585"/>
      <c r="P25" s="585"/>
      <c r="Q25" s="597"/>
      <c r="R25" s="632"/>
      <c r="S25" s="632"/>
      <c r="T25" s="16"/>
      <c r="U25" s="632"/>
      <c r="V25" s="632"/>
      <c r="W25" s="16"/>
      <c r="X25" s="78"/>
      <c r="Y25" s="546"/>
      <c r="Z25" s="546"/>
    </row>
    <row r="26" spans="1:26" ht="13.5" thickBot="1">
      <c r="A26" s="310"/>
      <c r="B26" s="266">
        <f>MAX($B$8:B25)+0.01</f>
        <v>3.0199999999999996</v>
      </c>
      <c r="C26" s="97" t="s">
        <v>997</v>
      </c>
      <c r="D26" s="95"/>
      <c r="E26" s="95"/>
      <c r="F26" s="136"/>
      <c r="G26" s="95"/>
      <c r="H26" s="633"/>
      <c r="I26" s="633"/>
      <c r="J26" s="633"/>
      <c r="K26" s="633"/>
      <c r="L26" s="633"/>
      <c r="M26" s="633"/>
      <c r="N26" s="633"/>
      <c r="O26" s="633"/>
      <c r="P26" s="633"/>
      <c r="Q26" s="633"/>
      <c r="R26" s="633"/>
      <c r="S26" s="634"/>
      <c r="U26" s="774"/>
      <c r="V26" s="634"/>
      <c r="X26" s="451"/>
    </row>
    <row r="27" spans="1:26">
      <c r="A27" s="310" t="str">
        <f>IF(ISNUMBER(D27),ROW(),"")</f>
        <v/>
      </c>
      <c r="B27" s="16"/>
      <c r="C27" s="668"/>
      <c r="D27" s="2"/>
      <c r="E27" s="62"/>
      <c r="F27" s="135"/>
      <c r="G27" s="557"/>
      <c r="H27" s="585"/>
      <c r="I27" s="585"/>
      <c r="J27" s="585"/>
      <c r="K27" s="585"/>
      <c r="L27" s="585"/>
      <c r="M27" s="585"/>
      <c r="N27" s="585"/>
      <c r="O27" s="585"/>
      <c r="P27" s="585"/>
      <c r="Q27" s="585"/>
      <c r="R27" s="585"/>
      <c r="S27" s="625"/>
      <c r="U27" s="591"/>
      <c r="V27" s="625"/>
      <c r="X27" s="448"/>
    </row>
    <row r="28" spans="1:26">
      <c r="A28" s="148">
        <f t="shared" ref="A28:A41" si="12">IF(ISNUMBER(G28),ROW(),"")</f>
        <v>28</v>
      </c>
      <c r="C28" s="617">
        <v>50</v>
      </c>
      <c r="D28" s="12">
        <f t="shared" ref="D28:D62" si="13">C28*PKperKW</f>
        <v>67.051104479751416</v>
      </c>
      <c r="E28" s="63" t="str">
        <f>"Stroper met Opteller - "&amp;C28&amp;"kW / "&amp;ROUND(D28,0)&amp;"PK"</f>
        <v>Stroper met Opteller - 50kW / 67PK</v>
      </c>
      <c r="F28" s="135"/>
      <c r="G28" s="620">
        <f>MROUND(C28*((C28-INDEX(Aannames!$E$126:$E$132,MATCH(C28,Aannames!$E$126:$E$132,1)))/(INDEX(Aannames!$E$126:$E$132,MATCH(C28,Aannames!$E$126:$E$132,1)+1)-INDEX(Aannames!$E$126:$E$132,MATCH(C28,Aannames!$E$126:$E$132,1)))*INDEX(Aannames!$J$126:$J$132,MATCH(C28,Aannames!$E$126:$E$132,1)+1)
+(INDEX(Aannames!$E$126:$E$132,MATCH(C28,Aannames!$E$126:$E$132,1)+1)-C28)/(INDEX(Aannames!$E$126:$E$132,MATCH(C28,Aannames!$E$126:$E$132,1)+1)-INDEX(Aannames!$E$126:$E$132,MATCH(C28,Aannames!$E$126:$E$132,1)))*INDEX(Aannames!$J$126:$J$132,MATCH(C28,Aannames!$E$126:$E$132,1)))+VLOOKUP(C28,Aannames!$E$136:$J$137,COLUMNS(Aannames!$E$136:$J$136),TRUE),5000)</f>
        <v>1215000</v>
      </c>
      <c r="H28" s="629">
        <v>4000</v>
      </c>
      <c r="I28" s="629">
        <v>300</v>
      </c>
      <c r="J28" s="630">
        <v>40</v>
      </c>
      <c r="K28" s="594">
        <f t="shared" ref="K28:K63" si="14">MROUND($G28*(1-$F$256/100)/H28,0.05)</f>
        <v>273.40000000000003</v>
      </c>
      <c r="L28" s="594">
        <f t="shared" ref="L28:L63" si="15">MROUND($G28*(1+$F$256/100)/2*$G$263/100/I28,0.05)</f>
        <v>39</v>
      </c>
      <c r="M28" s="600">
        <f t="shared" ref="M28:M63" si="16">MROUND($G28*(1+$F$256/100)/2*$F$257/100/I28,0.05)</f>
        <v>233.9</v>
      </c>
      <c r="N28" s="601">
        <f t="shared" ref="N28:N63" si="17">SUM(K28:M28)</f>
        <v>546.30000000000007</v>
      </c>
      <c r="O28" s="594">
        <f t="shared" ref="O28:O63" si="18">MROUND(IF(ISNUMBER(C28),$C28*$K$268*$F$258,0),0.05)</f>
        <v>110.7</v>
      </c>
      <c r="P28" s="600">
        <f t="shared" ref="P28:P63" si="19">MROUND($G28*J28/100/H28,0.05)</f>
        <v>121.5</v>
      </c>
      <c r="Q28" s="631">
        <f t="shared" ref="Q28:Q63" si="20">SUM(O28:P28)</f>
        <v>232.2</v>
      </c>
      <c r="R28" s="594">
        <f t="shared" ref="R28:R63" si="21">N28+P28</f>
        <v>667.80000000000007</v>
      </c>
      <c r="S28" s="599">
        <f t="shared" ref="S28:S63" si="22">N28+Q28</f>
        <v>778.5</v>
      </c>
      <c r="U28" s="603">
        <f t="shared" ref="U28:U63" si="23">R28-M28*(1-U$12)</f>
        <v>539.15500000000009</v>
      </c>
      <c r="V28" s="599">
        <f t="shared" ref="V28:V63" si="24">U28+O28</f>
        <v>649.85500000000013</v>
      </c>
      <c r="X28" s="767">
        <f t="shared" ref="X28:X63" si="25">MROUND(IF(ISNUMBER(C28),$C28*$K$268,0),0.05)</f>
        <v>9</v>
      </c>
    </row>
    <row r="29" spans="1:26">
      <c r="A29" s="148">
        <f t="shared" si="12"/>
        <v>29</v>
      </c>
      <c r="C29" s="617">
        <f>C28+10</f>
        <v>60</v>
      </c>
      <c r="D29" s="12">
        <f t="shared" si="13"/>
        <v>80.461325375701691</v>
      </c>
      <c r="E29" s="63" t="str">
        <f t="shared" ref="E29:E62" si="26">"Stroper met Opteller - "&amp;C29&amp;"kW / "&amp;ROUND(D29,0)&amp;"PK"</f>
        <v>Stroper met Opteller - 60kW / 80PK</v>
      </c>
      <c r="F29" s="135"/>
      <c r="G29" s="620">
        <f>MROUND(C29*((C29-INDEX(Aannames!$E$126:$E$132,MATCH(C29,Aannames!$E$126:$E$132,1)))/(INDEX(Aannames!$E$126:$E$132,MATCH(C29,Aannames!$E$126:$E$132,1)+1)-INDEX(Aannames!$E$126:$E$132,MATCH(C29,Aannames!$E$126:$E$132,1)))*INDEX(Aannames!$J$126:$J$132,MATCH(C29,Aannames!$E$126:$E$132,1)+1)
+(INDEX(Aannames!$E$126:$E$132,MATCH(C29,Aannames!$E$126:$E$132,1)+1)-C29)/(INDEX(Aannames!$E$126:$E$132,MATCH(C29,Aannames!$E$126:$E$132,1)+1)-INDEX(Aannames!$E$126:$E$132,MATCH(C29,Aannames!$E$126:$E$132,1)))*INDEX(Aannames!$J$126:$J$132,MATCH(C29,Aannames!$E$126:$E$132,1)))+VLOOKUP(C29,Aannames!$E$136:$J$137,COLUMNS(Aannames!$E$136:$J$136),TRUE),5000)</f>
        <v>1360000</v>
      </c>
      <c r="H29" s="629">
        <v>4000</v>
      </c>
      <c r="I29" s="629">
        <v>300</v>
      </c>
      <c r="J29" s="630">
        <v>40</v>
      </c>
      <c r="K29" s="594">
        <f t="shared" si="14"/>
        <v>306</v>
      </c>
      <c r="L29" s="594">
        <f t="shared" si="15"/>
        <v>43.650000000000006</v>
      </c>
      <c r="M29" s="600">
        <f t="shared" si="16"/>
        <v>261.8</v>
      </c>
      <c r="N29" s="601">
        <f t="shared" si="17"/>
        <v>611.45000000000005</v>
      </c>
      <c r="O29" s="594">
        <f t="shared" si="18"/>
        <v>132.85</v>
      </c>
      <c r="P29" s="600">
        <f t="shared" si="19"/>
        <v>136</v>
      </c>
      <c r="Q29" s="631">
        <f t="shared" si="20"/>
        <v>268.85000000000002</v>
      </c>
      <c r="R29" s="594">
        <f t="shared" si="21"/>
        <v>747.45</v>
      </c>
      <c r="S29" s="599">
        <f t="shared" si="22"/>
        <v>880.30000000000007</v>
      </c>
      <c r="U29" s="603">
        <f t="shared" si="23"/>
        <v>603.46</v>
      </c>
      <c r="V29" s="599">
        <f t="shared" si="24"/>
        <v>736.31000000000006</v>
      </c>
      <c r="X29" s="767">
        <f t="shared" si="25"/>
        <v>10.8</v>
      </c>
    </row>
    <row r="30" spans="1:26">
      <c r="A30" s="148">
        <f t="shared" si="12"/>
        <v>30</v>
      </c>
      <c r="C30" s="617">
        <f t="shared" ref="C30:C63" si="27">C29+10</f>
        <v>70</v>
      </c>
      <c r="D30" s="12">
        <f t="shared" si="13"/>
        <v>93.87154627165198</v>
      </c>
      <c r="E30" s="63" t="str">
        <f t="shared" si="26"/>
        <v>Stroper met Opteller - 70kW / 94PK</v>
      </c>
      <c r="F30" s="135"/>
      <c r="G30" s="620">
        <f>MROUND(C30*((C30-INDEX(Aannames!$E$126:$E$132,MATCH(C30,Aannames!$E$126:$E$132,1)))/(INDEX(Aannames!$E$126:$E$132,MATCH(C30,Aannames!$E$126:$E$132,1)+1)-INDEX(Aannames!$E$126:$E$132,MATCH(C30,Aannames!$E$126:$E$132,1)))*INDEX(Aannames!$J$126:$J$132,MATCH(C30,Aannames!$E$126:$E$132,1)+1)
+(INDEX(Aannames!$E$126:$E$132,MATCH(C30,Aannames!$E$126:$E$132,1)+1)-C30)/(INDEX(Aannames!$E$126:$E$132,MATCH(C30,Aannames!$E$126:$E$132,1)+1)-INDEX(Aannames!$E$126:$E$132,MATCH(C30,Aannames!$E$126:$E$132,1)))*INDEX(Aannames!$J$126:$J$132,MATCH(C30,Aannames!$E$126:$E$132,1)))+VLOOKUP(C30,Aannames!$E$136:$J$137,COLUMNS(Aannames!$E$136:$J$136),TRUE),5000)</f>
        <v>1505000</v>
      </c>
      <c r="H30" s="629">
        <v>4000</v>
      </c>
      <c r="I30" s="629">
        <v>300</v>
      </c>
      <c r="J30" s="630">
        <v>40</v>
      </c>
      <c r="K30" s="594">
        <f t="shared" si="14"/>
        <v>338.65000000000003</v>
      </c>
      <c r="L30" s="594">
        <f t="shared" si="15"/>
        <v>48.300000000000004</v>
      </c>
      <c r="M30" s="600">
        <f t="shared" si="16"/>
        <v>289.7</v>
      </c>
      <c r="N30" s="601">
        <f t="shared" si="17"/>
        <v>676.65000000000009</v>
      </c>
      <c r="O30" s="594">
        <f t="shared" si="18"/>
        <v>155</v>
      </c>
      <c r="P30" s="600">
        <f t="shared" si="19"/>
        <v>150.5</v>
      </c>
      <c r="Q30" s="631">
        <f t="shared" si="20"/>
        <v>305.5</v>
      </c>
      <c r="R30" s="594">
        <f t="shared" si="21"/>
        <v>827.15000000000009</v>
      </c>
      <c r="S30" s="599">
        <f t="shared" si="22"/>
        <v>982.15000000000009</v>
      </c>
      <c r="U30" s="603">
        <f t="shared" si="23"/>
        <v>667.81500000000005</v>
      </c>
      <c r="V30" s="599">
        <f t="shared" si="24"/>
        <v>822.81500000000005</v>
      </c>
      <c r="X30" s="767">
        <f t="shared" si="25"/>
        <v>12.600000000000001</v>
      </c>
    </row>
    <row r="31" spans="1:26">
      <c r="A31" s="310">
        <f t="shared" ref="A31" si="28">IF(ISNUMBER(G31),ROW(),"")</f>
        <v>31</v>
      </c>
      <c r="C31" s="617">
        <f t="shared" si="27"/>
        <v>80</v>
      </c>
      <c r="D31" s="12">
        <f t="shared" si="13"/>
        <v>107.28176716760225</v>
      </c>
      <c r="E31" s="63" t="str">
        <f t="shared" si="26"/>
        <v>Stroper met Opteller - 80kW / 107PK</v>
      </c>
      <c r="F31" s="135"/>
      <c r="G31" s="620">
        <f>MROUND(C31*((C31-INDEX(Aannames!$E$126:$E$132,MATCH(C31,Aannames!$E$126:$E$132,1)))/(INDEX(Aannames!$E$126:$E$132,MATCH(C31,Aannames!$E$126:$E$132,1)+1)-INDEX(Aannames!$E$126:$E$132,MATCH(C31,Aannames!$E$126:$E$132,1)))*INDEX(Aannames!$J$126:$J$132,MATCH(C31,Aannames!$E$126:$E$132,1)+1)
+(INDEX(Aannames!$E$126:$E$132,MATCH(C31,Aannames!$E$126:$E$132,1)+1)-C31)/(INDEX(Aannames!$E$126:$E$132,MATCH(C31,Aannames!$E$126:$E$132,1)+1)-INDEX(Aannames!$E$126:$E$132,MATCH(C31,Aannames!$E$126:$E$132,1)))*INDEX(Aannames!$J$126:$J$132,MATCH(C31,Aannames!$E$126:$E$132,1)))+VLOOKUP(C31,Aannames!$E$136:$J$137,COLUMNS(Aannames!$E$136:$J$136),TRUE),5000)</f>
        <v>1655000</v>
      </c>
      <c r="H31" s="629">
        <v>4000</v>
      </c>
      <c r="I31" s="629">
        <v>300</v>
      </c>
      <c r="J31" s="630">
        <v>40</v>
      </c>
      <c r="K31" s="594">
        <f t="shared" si="14"/>
        <v>372.40000000000003</v>
      </c>
      <c r="L31" s="594">
        <f t="shared" si="15"/>
        <v>53.1</v>
      </c>
      <c r="M31" s="600">
        <f t="shared" si="16"/>
        <v>318.60000000000002</v>
      </c>
      <c r="N31" s="601">
        <f t="shared" si="17"/>
        <v>744.10000000000014</v>
      </c>
      <c r="O31" s="594">
        <f t="shared" si="18"/>
        <v>177.10000000000002</v>
      </c>
      <c r="P31" s="600">
        <f t="shared" si="19"/>
        <v>165.5</v>
      </c>
      <c r="Q31" s="631">
        <f t="shared" si="20"/>
        <v>342.6</v>
      </c>
      <c r="R31" s="594">
        <f t="shared" si="21"/>
        <v>909.60000000000014</v>
      </c>
      <c r="S31" s="599">
        <f t="shared" si="22"/>
        <v>1086.7000000000003</v>
      </c>
      <c r="U31" s="603">
        <f t="shared" si="23"/>
        <v>734.37000000000012</v>
      </c>
      <c r="V31" s="599">
        <f t="shared" si="24"/>
        <v>911.47000000000014</v>
      </c>
      <c r="X31" s="767">
        <f t="shared" si="25"/>
        <v>14.4</v>
      </c>
    </row>
    <row r="32" spans="1:26">
      <c r="A32" s="148">
        <f t="shared" si="12"/>
        <v>32</v>
      </c>
      <c r="C32" s="617">
        <f t="shared" si="27"/>
        <v>90</v>
      </c>
      <c r="D32" s="12">
        <f t="shared" si="13"/>
        <v>120.69198806355254</v>
      </c>
      <c r="E32" s="63" t="str">
        <f t="shared" si="26"/>
        <v>Stroper met Opteller - 90kW / 121PK</v>
      </c>
      <c r="F32" s="135"/>
      <c r="G32" s="620">
        <f>MROUND(C32*((C32-INDEX(Aannames!$E$126:$E$132,MATCH(C32,Aannames!$E$126:$E$132,1)))/(INDEX(Aannames!$E$126:$E$132,MATCH(C32,Aannames!$E$126:$E$132,1)+1)-INDEX(Aannames!$E$126:$E$132,MATCH(C32,Aannames!$E$126:$E$132,1)))*INDEX(Aannames!$J$126:$J$132,MATCH(C32,Aannames!$E$126:$E$132,1)+1)
+(INDEX(Aannames!$E$126:$E$132,MATCH(C32,Aannames!$E$126:$E$132,1)+1)-C32)/(INDEX(Aannames!$E$126:$E$132,MATCH(C32,Aannames!$E$126:$E$132,1)+1)-INDEX(Aannames!$E$126:$E$132,MATCH(C32,Aannames!$E$126:$E$132,1)))*INDEX(Aannames!$J$126:$J$132,MATCH(C32,Aannames!$E$126:$E$132,1)))+VLOOKUP(C32,Aannames!$E$136:$J$137,COLUMNS(Aannames!$E$136:$J$136),TRUE),5000)</f>
        <v>1800000</v>
      </c>
      <c r="H32" s="629">
        <v>4000</v>
      </c>
      <c r="I32" s="629">
        <v>300</v>
      </c>
      <c r="J32" s="630">
        <v>40</v>
      </c>
      <c r="K32" s="594">
        <f t="shared" si="14"/>
        <v>405</v>
      </c>
      <c r="L32" s="594">
        <f t="shared" si="15"/>
        <v>57.75</v>
      </c>
      <c r="M32" s="600">
        <f t="shared" si="16"/>
        <v>346.5</v>
      </c>
      <c r="N32" s="601">
        <f t="shared" si="17"/>
        <v>809.25</v>
      </c>
      <c r="O32" s="594">
        <f t="shared" si="18"/>
        <v>199.25</v>
      </c>
      <c r="P32" s="600">
        <f t="shared" si="19"/>
        <v>180</v>
      </c>
      <c r="Q32" s="631">
        <f t="shared" si="20"/>
        <v>379.25</v>
      </c>
      <c r="R32" s="594">
        <f t="shared" si="21"/>
        <v>989.25</v>
      </c>
      <c r="S32" s="599">
        <f t="shared" si="22"/>
        <v>1188.5</v>
      </c>
      <c r="U32" s="603">
        <f t="shared" si="23"/>
        <v>798.67499999999995</v>
      </c>
      <c r="V32" s="599">
        <f t="shared" si="24"/>
        <v>997.92499999999995</v>
      </c>
      <c r="X32" s="767">
        <f t="shared" si="25"/>
        <v>16.2</v>
      </c>
    </row>
    <row r="33" spans="1:24">
      <c r="A33" s="148">
        <f t="shared" si="12"/>
        <v>33</v>
      </c>
      <c r="C33" s="617">
        <f t="shared" si="27"/>
        <v>100</v>
      </c>
      <c r="D33" s="12">
        <f t="shared" si="13"/>
        <v>134.10220895950283</v>
      </c>
      <c r="E33" s="63" t="str">
        <f t="shared" si="26"/>
        <v>Stroper met Opteller - 100kW / 134PK</v>
      </c>
      <c r="F33" s="135"/>
      <c r="G33" s="620">
        <f>MROUND(C33*((C33-INDEX(Aannames!$E$126:$E$132,MATCH(C33,Aannames!$E$126:$E$132,1)))/(INDEX(Aannames!$E$126:$E$132,MATCH(C33,Aannames!$E$126:$E$132,1)+1)-INDEX(Aannames!$E$126:$E$132,MATCH(C33,Aannames!$E$126:$E$132,1)))*INDEX(Aannames!$J$126:$J$132,MATCH(C33,Aannames!$E$126:$E$132,1)+1)
+(INDEX(Aannames!$E$126:$E$132,MATCH(C33,Aannames!$E$126:$E$132,1)+1)-C33)/(INDEX(Aannames!$E$126:$E$132,MATCH(C33,Aannames!$E$126:$E$132,1)+1)-INDEX(Aannames!$E$126:$E$132,MATCH(C33,Aannames!$E$126:$E$132,1)))*INDEX(Aannames!$J$126:$J$132,MATCH(C33,Aannames!$E$126:$E$132,1)))+VLOOKUP(C33,Aannames!$E$136:$J$137,COLUMNS(Aannames!$E$136:$J$136),TRUE),5000)</f>
        <v>1950000</v>
      </c>
      <c r="H33" s="629">
        <v>4000</v>
      </c>
      <c r="I33" s="629">
        <v>300</v>
      </c>
      <c r="J33" s="630">
        <v>40</v>
      </c>
      <c r="K33" s="594">
        <f t="shared" si="14"/>
        <v>438.75</v>
      </c>
      <c r="L33" s="594">
        <f t="shared" si="15"/>
        <v>62.550000000000004</v>
      </c>
      <c r="M33" s="600">
        <f t="shared" si="16"/>
        <v>375.40000000000003</v>
      </c>
      <c r="N33" s="601">
        <f t="shared" si="17"/>
        <v>876.7</v>
      </c>
      <c r="O33" s="594">
        <f t="shared" si="18"/>
        <v>221.4</v>
      </c>
      <c r="P33" s="600">
        <f t="shared" si="19"/>
        <v>195</v>
      </c>
      <c r="Q33" s="631">
        <f t="shared" si="20"/>
        <v>416.4</v>
      </c>
      <c r="R33" s="594">
        <f t="shared" si="21"/>
        <v>1071.7</v>
      </c>
      <c r="S33" s="599">
        <f t="shared" si="22"/>
        <v>1293.0999999999999</v>
      </c>
      <c r="T33" s="16"/>
      <c r="U33" s="603">
        <f t="shared" si="23"/>
        <v>865.23</v>
      </c>
      <c r="V33" s="599">
        <f t="shared" si="24"/>
        <v>1086.6300000000001</v>
      </c>
      <c r="W33" s="16"/>
      <c r="X33" s="767">
        <f t="shared" si="25"/>
        <v>18</v>
      </c>
    </row>
    <row r="34" spans="1:24">
      <c r="A34" s="148">
        <f t="shared" si="12"/>
        <v>34</v>
      </c>
      <c r="C34" s="617">
        <f t="shared" si="27"/>
        <v>110</v>
      </c>
      <c r="D34" s="12">
        <f t="shared" si="13"/>
        <v>147.51242985545309</v>
      </c>
      <c r="E34" s="63" t="str">
        <f t="shared" si="26"/>
        <v>Stroper met Opteller - 110kW / 148PK</v>
      </c>
      <c r="F34" s="135"/>
      <c r="G34" s="620">
        <f>MROUND(C34*((C34-INDEX(Aannames!$E$126:$E$132,MATCH(C34,Aannames!$E$126:$E$132,1)))/(INDEX(Aannames!$E$126:$E$132,MATCH(C34,Aannames!$E$126:$E$132,1)+1)-INDEX(Aannames!$E$126:$E$132,MATCH(C34,Aannames!$E$126:$E$132,1)))*INDEX(Aannames!$J$126:$J$132,MATCH(C34,Aannames!$E$126:$E$132,1)+1)
+(INDEX(Aannames!$E$126:$E$132,MATCH(C34,Aannames!$E$126:$E$132,1)+1)-C34)/(INDEX(Aannames!$E$126:$E$132,MATCH(C34,Aannames!$E$126:$E$132,1)+1)-INDEX(Aannames!$E$126:$E$132,MATCH(C34,Aannames!$E$126:$E$132,1)))*INDEX(Aannames!$J$126:$J$132,MATCH(C34,Aannames!$E$126:$E$132,1)))+VLOOKUP(C34,Aannames!$E$136:$J$137,COLUMNS(Aannames!$E$136:$J$136),TRUE),5000)</f>
        <v>2095000</v>
      </c>
      <c r="H34" s="629">
        <v>4000</v>
      </c>
      <c r="I34" s="629">
        <v>300</v>
      </c>
      <c r="J34" s="630">
        <v>40</v>
      </c>
      <c r="K34" s="594">
        <f t="shared" si="14"/>
        <v>471.40000000000003</v>
      </c>
      <c r="L34" s="594">
        <f t="shared" si="15"/>
        <v>67.2</v>
      </c>
      <c r="M34" s="600">
        <f t="shared" si="16"/>
        <v>403.3</v>
      </c>
      <c r="N34" s="601">
        <f t="shared" si="17"/>
        <v>941.90000000000009</v>
      </c>
      <c r="O34" s="594">
        <f t="shared" si="18"/>
        <v>243.55</v>
      </c>
      <c r="P34" s="600">
        <f t="shared" si="19"/>
        <v>209.5</v>
      </c>
      <c r="Q34" s="631">
        <f t="shared" si="20"/>
        <v>453.05</v>
      </c>
      <c r="R34" s="594">
        <f t="shared" si="21"/>
        <v>1151.4000000000001</v>
      </c>
      <c r="S34" s="599">
        <f t="shared" si="22"/>
        <v>1394.95</v>
      </c>
      <c r="U34" s="603">
        <f t="shared" si="23"/>
        <v>929.58500000000004</v>
      </c>
      <c r="V34" s="599">
        <f t="shared" si="24"/>
        <v>1173.135</v>
      </c>
      <c r="X34" s="767">
        <f t="shared" si="25"/>
        <v>19.8</v>
      </c>
    </row>
    <row r="35" spans="1:24">
      <c r="A35" s="148">
        <f t="shared" si="12"/>
        <v>35</v>
      </c>
      <c r="C35" s="617">
        <f t="shared" si="27"/>
        <v>120</v>
      </c>
      <c r="D35" s="12">
        <f t="shared" si="13"/>
        <v>160.92265075140338</v>
      </c>
      <c r="E35" s="63" t="str">
        <f t="shared" si="26"/>
        <v>Stroper met Opteller - 120kW / 161PK</v>
      </c>
      <c r="F35" s="135"/>
      <c r="G35" s="620">
        <f>MROUND(C35*((C35-INDEX(Aannames!$E$126:$E$132,MATCH(C35,Aannames!$E$126:$E$132,1)))/(INDEX(Aannames!$E$126:$E$132,MATCH(C35,Aannames!$E$126:$E$132,1)+1)-INDEX(Aannames!$E$126:$E$132,MATCH(C35,Aannames!$E$126:$E$132,1)))*INDEX(Aannames!$J$126:$J$132,MATCH(C35,Aannames!$E$126:$E$132,1)+1)
+(INDEX(Aannames!$E$126:$E$132,MATCH(C35,Aannames!$E$126:$E$132,1)+1)-C35)/(INDEX(Aannames!$E$126:$E$132,MATCH(C35,Aannames!$E$126:$E$132,1)+1)-INDEX(Aannames!$E$126:$E$132,MATCH(C35,Aannames!$E$126:$E$132,1)))*INDEX(Aannames!$J$126:$J$132,MATCH(C35,Aannames!$E$126:$E$132,1)))+VLOOKUP(C35,Aannames!$E$136:$J$137,COLUMNS(Aannames!$E$136:$J$136),TRUE),5000)</f>
        <v>2245000</v>
      </c>
      <c r="H35" s="629">
        <v>4000</v>
      </c>
      <c r="I35" s="629">
        <v>300</v>
      </c>
      <c r="J35" s="630">
        <v>40</v>
      </c>
      <c r="K35" s="594">
        <f t="shared" si="14"/>
        <v>505.15000000000003</v>
      </c>
      <c r="L35" s="594">
        <f t="shared" si="15"/>
        <v>72.05</v>
      </c>
      <c r="M35" s="600">
        <f t="shared" si="16"/>
        <v>432.15000000000003</v>
      </c>
      <c r="N35" s="601">
        <f t="shared" si="17"/>
        <v>1009.3500000000001</v>
      </c>
      <c r="O35" s="594">
        <f t="shared" si="18"/>
        <v>265.7</v>
      </c>
      <c r="P35" s="600">
        <f t="shared" si="19"/>
        <v>224.5</v>
      </c>
      <c r="Q35" s="631">
        <f t="shared" si="20"/>
        <v>490.2</v>
      </c>
      <c r="R35" s="594">
        <f t="shared" si="21"/>
        <v>1233.8500000000001</v>
      </c>
      <c r="S35" s="599">
        <f t="shared" si="22"/>
        <v>1499.5500000000002</v>
      </c>
      <c r="U35" s="603">
        <f t="shared" si="23"/>
        <v>996.16750000000013</v>
      </c>
      <c r="V35" s="599">
        <f t="shared" si="24"/>
        <v>1261.8675000000001</v>
      </c>
      <c r="X35" s="767">
        <f t="shared" si="25"/>
        <v>21.6</v>
      </c>
    </row>
    <row r="36" spans="1:24">
      <c r="A36" s="148">
        <f t="shared" si="12"/>
        <v>36</v>
      </c>
      <c r="C36" s="617">
        <f t="shared" si="27"/>
        <v>130</v>
      </c>
      <c r="D36" s="12">
        <f t="shared" si="13"/>
        <v>174.33287164735367</v>
      </c>
      <c r="E36" s="63" t="str">
        <f t="shared" si="26"/>
        <v>Stroper met Opteller - 130kW / 174PK</v>
      </c>
      <c r="F36" s="135"/>
      <c r="G36" s="620">
        <f>MROUND(C36*((C36-INDEX(Aannames!$E$126:$E$132,MATCH(C36,Aannames!$E$126:$E$132,1)))/(INDEX(Aannames!$E$126:$E$132,MATCH(C36,Aannames!$E$126:$E$132,1)+1)-INDEX(Aannames!$E$126:$E$132,MATCH(C36,Aannames!$E$126:$E$132,1)))*INDEX(Aannames!$J$126:$J$132,MATCH(C36,Aannames!$E$126:$E$132,1)+1)
+(INDEX(Aannames!$E$126:$E$132,MATCH(C36,Aannames!$E$126:$E$132,1)+1)-C36)/(INDEX(Aannames!$E$126:$E$132,MATCH(C36,Aannames!$E$126:$E$132,1)+1)-INDEX(Aannames!$E$126:$E$132,MATCH(C36,Aannames!$E$126:$E$132,1)))*INDEX(Aannames!$J$126:$J$132,MATCH(C36,Aannames!$E$126:$E$132,1)))+VLOOKUP(C36,Aannames!$E$136:$J$137,COLUMNS(Aannames!$E$136:$J$136),TRUE),5000)</f>
        <v>2390000</v>
      </c>
      <c r="H36" s="629">
        <v>4000</v>
      </c>
      <c r="I36" s="629">
        <v>300</v>
      </c>
      <c r="J36" s="630">
        <v>40</v>
      </c>
      <c r="K36" s="594">
        <f t="shared" si="14"/>
        <v>537.75</v>
      </c>
      <c r="L36" s="594">
        <f t="shared" si="15"/>
        <v>76.7</v>
      </c>
      <c r="M36" s="600">
        <f t="shared" si="16"/>
        <v>460.1</v>
      </c>
      <c r="N36" s="601">
        <f t="shared" si="17"/>
        <v>1074.5500000000002</v>
      </c>
      <c r="O36" s="594">
        <f t="shared" si="18"/>
        <v>287.8</v>
      </c>
      <c r="P36" s="600">
        <f t="shared" si="19"/>
        <v>239</v>
      </c>
      <c r="Q36" s="631">
        <f t="shared" si="20"/>
        <v>526.79999999999995</v>
      </c>
      <c r="R36" s="594">
        <f t="shared" si="21"/>
        <v>1313.5500000000002</v>
      </c>
      <c r="S36" s="599">
        <f t="shared" si="22"/>
        <v>1601.3500000000001</v>
      </c>
      <c r="U36" s="603">
        <f t="shared" si="23"/>
        <v>1060.4950000000001</v>
      </c>
      <c r="V36" s="599">
        <f t="shared" si="24"/>
        <v>1348.2950000000001</v>
      </c>
      <c r="X36" s="767">
        <f t="shared" si="25"/>
        <v>23.400000000000002</v>
      </c>
    </row>
    <row r="37" spans="1:24">
      <c r="A37" s="148">
        <f t="shared" si="12"/>
        <v>37</v>
      </c>
      <c r="C37" s="617">
        <f t="shared" si="27"/>
        <v>140</v>
      </c>
      <c r="D37" s="12">
        <f t="shared" si="13"/>
        <v>187.74309254330396</v>
      </c>
      <c r="E37" s="63" t="str">
        <f t="shared" si="26"/>
        <v>Stroper met Opteller - 140kW / 188PK</v>
      </c>
      <c r="F37" s="135"/>
      <c r="G37" s="620">
        <f>MROUND(C37*((C37-INDEX(Aannames!$E$126:$E$132,MATCH(C37,Aannames!$E$126:$E$132,1)))/(INDEX(Aannames!$E$126:$E$132,MATCH(C37,Aannames!$E$126:$E$132,1)+1)-INDEX(Aannames!$E$126:$E$132,MATCH(C37,Aannames!$E$126:$E$132,1)))*INDEX(Aannames!$J$126:$J$132,MATCH(C37,Aannames!$E$126:$E$132,1)+1)
+(INDEX(Aannames!$E$126:$E$132,MATCH(C37,Aannames!$E$126:$E$132,1)+1)-C37)/(INDEX(Aannames!$E$126:$E$132,MATCH(C37,Aannames!$E$126:$E$132,1)+1)-INDEX(Aannames!$E$126:$E$132,MATCH(C37,Aannames!$E$126:$E$132,1)))*INDEX(Aannames!$J$126:$J$132,MATCH(C37,Aannames!$E$126:$E$132,1)))+VLOOKUP(C37,Aannames!$E$136:$J$137,COLUMNS(Aannames!$E$136:$J$136),TRUE),5000)</f>
        <v>2540000</v>
      </c>
      <c r="H37" s="629">
        <v>4000</v>
      </c>
      <c r="I37" s="629">
        <v>300</v>
      </c>
      <c r="J37" s="630">
        <v>40</v>
      </c>
      <c r="K37" s="594">
        <f t="shared" si="14"/>
        <v>571.5</v>
      </c>
      <c r="L37" s="594">
        <f t="shared" si="15"/>
        <v>81.5</v>
      </c>
      <c r="M37" s="600">
        <f t="shared" si="16"/>
        <v>488.95000000000005</v>
      </c>
      <c r="N37" s="601">
        <f t="shared" si="17"/>
        <v>1141.95</v>
      </c>
      <c r="O37" s="594">
        <f t="shared" si="18"/>
        <v>309.95000000000005</v>
      </c>
      <c r="P37" s="600">
        <f t="shared" si="19"/>
        <v>254</v>
      </c>
      <c r="Q37" s="631">
        <f t="shared" si="20"/>
        <v>563.95000000000005</v>
      </c>
      <c r="R37" s="594">
        <f t="shared" si="21"/>
        <v>1395.95</v>
      </c>
      <c r="S37" s="599">
        <f t="shared" si="22"/>
        <v>1705.9</v>
      </c>
      <c r="U37" s="603">
        <f t="shared" si="23"/>
        <v>1127.0274999999999</v>
      </c>
      <c r="V37" s="599">
        <f t="shared" si="24"/>
        <v>1436.9775</v>
      </c>
      <c r="X37" s="767">
        <f t="shared" si="25"/>
        <v>25.200000000000003</v>
      </c>
    </row>
    <row r="38" spans="1:24">
      <c r="A38" s="148">
        <f t="shared" si="12"/>
        <v>38</v>
      </c>
      <c r="C38" s="617">
        <f t="shared" si="27"/>
        <v>150</v>
      </c>
      <c r="D38" s="12">
        <f t="shared" si="13"/>
        <v>201.15331343925422</v>
      </c>
      <c r="E38" s="63" t="str">
        <f t="shared" si="26"/>
        <v>Stroper met Opteller - 150kW / 201PK</v>
      </c>
      <c r="F38" s="135"/>
      <c r="G38" s="620">
        <f>MROUND(C38*((C38-INDEX(Aannames!$E$126:$E$132,MATCH(C38,Aannames!$E$126:$E$132,1)))/(INDEX(Aannames!$E$126:$E$132,MATCH(C38,Aannames!$E$126:$E$132,1)+1)-INDEX(Aannames!$E$126:$E$132,MATCH(C38,Aannames!$E$126:$E$132,1)))*INDEX(Aannames!$J$126:$J$132,MATCH(C38,Aannames!$E$126:$E$132,1)+1)
+(INDEX(Aannames!$E$126:$E$132,MATCH(C38,Aannames!$E$126:$E$132,1)+1)-C38)/(INDEX(Aannames!$E$126:$E$132,MATCH(C38,Aannames!$E$126:$E$132,1)+1)-INDEX(Aannames!$E$126:$E$132,MATCH(C38,Aannames!$E$126:$E$132,1)))*INDEX(Aannames!$J$126:$J$132,MATCH(C38,Aannames!$E$126:$E$132,1)))+VLOOKUP(C38,Aannames!$E$136:$J$137,COLUMNS(Aannames!$E$136:$J$136),TRUE),5000)</f>
        <v>2760000</v>
      </c>
      <c r="H38" s="629">
        <v>4000</v>
      </c>
      <c r="I38" s="629">
        <v>300</v>
      </c>
      <c r="J38" s="630">
        <v>40</v>
      </c>
      <c r="K38" s="594">
        <f t="shared" si="14"/>
        <v>621</v>
      </c>
      <c r="L38" s="594">
        <f t="shared" si="15"/>
        <v>88.550000000000011</v>
      </c>
      <c r="M38" s="600">
        <f t="shared" si="16"/>
        <v>531.30000000000007</v>
      </c>
      <c r="N38" s="601">
        <f t="shared" si="17"/>
        <v>1240.8499999999999</v>
      </c>
      <c r="O38" s="594">
        <f t="shared" si="18"/>
        <v>332.1</v>
      </c>
      <c r="P38" s="600">
        <f t="shared" si="19"/>
        <v>276</v>
      </c>
      <c r="Q38" s="631">
        <f t="shared" si="20"/>
        <v>608.1</v>
      </c>
      <c r="R38" s="594">
        <f t="shared" si="21"/>
        <v>1516.85</v>
      </c>
      <c r="S38" s="599">
        <f t="shared" si="22"/>
        <v>1848.9499999999998</v>
      </c>
      <c r="U38" s="603">
        <f t="shared" si="23"/>
        <v>1224.6349999999998</v>
      </c>
      <c r="V38" s="599">
        <f t="shared" si="24"/>
        <v>1556.7349999999997</v>
      </c>
      <c r="X38" s="767">
        <f t="shared" si="25"/>
        <v>27</v>
      </c>
    </row>
    <row r="39" spans="1:24">
      <c r="A39" s="148">
        <f t="shared" si="12"/>
        <v>39</v>
      </c>
      <c r="C39" s="617">
        <f t="shared" si="27"/>
        <v>160</v>
      </c>
      <c r="D39" s="12">
        <f t="shared" si="13"/>
        <v>214.56353433520451</v>
      </c>
      <c r="E39" s="63" t="str">
        <f t="shared" si="26"/>
        <v>Stroper met Opteller - 160kW / 215PK</v>
      </c>
      <c r="F39" s="135"/>
      <c r="G39" s="620">
        <f>MROUND(C39*((C39-INDEX(Aannames!$E$126:$E$132,MATCH(C39,Aannames!$E$126:$E$132,1)))/(INDEX(Aannames!$E$126:$E$132,MATCH(C39,Aannames!$E$126:$E$132,1)+1)-INDEX(Aannames!$E$126:$E$132,MATCH(C39,Aannames!$E$126:$E$132,1)))*INDEX(Aannames!$J$126:$J$132,MATCH(C39,Aannames!$E$126:$E$132,1)+1)
+(INDEX(Aannames!$E$126:$E$132,MATCH(C39,Aannames!$E$126:$E$132,1)+1)-C39)/(INDEX(Aannames!$E$126:$E$132,MATCH(C39,Aannames!$E$126:$E$132,1)+1)-INDEX(Aannames!$E$126:$E$132,MATCH(C39,Aannames!$E$126:$E$132,1)))*INDEX(Aannames!$J$126:$J$132,MATCH(C39,Aannames!$E$126:$E$132,1)))+VLOOKUP(C39,Aannames!$E$136:$J$137,COLUMNS(Aannames!$E$136:$J$136),TRUE),5000)</f>
        <v>2910000</v>
      </c>
      <c r="H39" s="629">
        <v>4000</v>
      </c>
      <c r="I39" s="629">
        <v>300</v>
      </c>
      <c r="J39" s="630">
        <v>40</v>
      </c>
      <c r="K39" s="594">
        <f t="shared" si="14"/>
        <v>654.75</v>
      </c>
      <c r="L39" s="594">
        <f t="shared" si="15"/>
        <v>93.350000000000009</v>
      </c>
      <c r="M39" s="600">
        <f t="shared" si="16"/>
        <v>560.20000000000005</v>
      </c>
      <c r="N39" s="601">
        <f t="shared" si="17"/>
        <v>1308.3000000000002</v>
      </c>
      <c r="O39" s="594">
        <f t="shared" si="18"/>
        <v>354.25</v>
      </c>
      <c r="P39" s="600">
        <f t="shared" si="19"/>
        <v>291</v>
      </c>
      <c r="Q39" s="631">
        <f t="shared" si="20"/>
        <v>645.25</v>
      </c>
      <c r="R39" s="594">
        <f t="shared" si="21"/>
        <v>1599.3000000000002</v>
      </c>
      <c r="S39" s="599">
        <f t="shared" si="22"/>
        <v>1953.5500000000002</v>
      </c>
      <c r="U39" s="603">
        <f t="shared" si="23"/>
        <v>1291.19</v>
      </c>
      <c r="V39" s="599">
        <f t="shared" si="24"/>
        <v>1645.44</v>
      </c>
      <c r="X39" s="767">
        <f t="shared" si="25"/>
        <v>28.8</v>
      </c>
    </row>
    <row r="40" spans="1:24">
      <c r="A40" s="148">
        <f t="shared" si="12"/>
        <v>40</v>
      </c>
      <c r="C40" s="617">
        <f t="shared" si="27"/>
        <v>170</v>
      </c>
      <c r="D40" s="12">
        <f t="shared" si="13"/>
        <v>227.9737552311548</v>
      </c>
      <c r="E40" s="63" t="str">
        <f t="shared" si="26"/>
        <v>Stroper met Opteller - 170kW / 228PK</v>
      </c>
      <c r="F40" s="135"/>
      <c r="G40" s="620">
        <f>MROUND(C40*((C40-INDEX(Aannames!$E$126:$E$132,MATCH(C40,Aannames!$E$126:$E$132,1)))/(INDEX(Aannames!$E$126:$E$132,MATCH(C40,Aannames!$E$126:$E$132,1)+1)-INDEX(Aannames!$E$126:$E$132,MATCH(C40,Aannames!$E$126:$E$132,1)))*INDEX(Aannames!$J$126:$J$132,MATCH(C40,Aannames!$E$126:$E$132,1)+1)
+(INDEX(Aannames!$E$126:$E$132,MATCH(C40,Aannames!$E$126:$E$132,1)+1)-C40)/(INDEX(Aannames!$E$126:$E$132,MATCH(C40,Aannames!$E$126:$E$132,1)+1)-INDEX(Aannames!$E$126:$E$132,MATCH(C40,Aannames!$E$126:$E$132,1)))*INDEX(Aannames!$J$126:$J$132,MATCH(C40,Aannames!$E$126:$E$132,1)))+VLOOKUP(C40,Aannames!$E$136:$J$137,COLUMNS(Aannames!$E$136:$J$136),TRUE),5000)</f>
        <v>3065000</v>
      </c>
      <c r="H40" s="629">
        <v>4000</v>
      </c>
      <c r="I40" s="629">
        <v>300</v>
      </c>
      <c r="J40" s="630">
        <v>40</v>
      </c>
      <c r="K40" s="594">
        <f t="shared" si="14"/>
        <v>689.65000000000009</v>
      </c>
      <c r="L40" s="594">
        <f t="shared" si="15"/>
        <v>98.350000000000009</v>
      </c>
      <c r="M40" s="600">
        <f t="shared" si="16"/>
        <v>590</v>
      </c>
      <c r="N40" s="601">
        <f t="shared" si="17"/>
        <v>1378</v>
      </c>
      <c r="O40" s="594">
        <f t="shared" si="18"/>
        <v>376.40000000000003</v>
      </c>
      <c r="P40" s="600">
        <f t="shared" si="19"/>
        <v>306.5</v>
      </c>
      <c r="Q40" s="631">
        <f t="shared" si="20"/>
        <v>682.90000000000009</v>
      </c>
      <c r="R40" s="594">
        <f t="shared" si="21"/>
        <v>1684.5</v>
      </c>
      <c r="S40" s="599">
        <f t="shared" si="22"/>
        <v>2060.9</v>
      </c>
      <c r="U40" s="603">
        <f t="shared" si="23"/>
        <v>1360</v>
      </c>
      <c r="V40" s="599">
        <f t="shared" si="24"/>
        <v>1736.4</v>
      </c>
      <c r="X40" s="767">
        <f t="shared" si="25"/>
        <v>30.6</v>
      </c>
    </row>
    <row r="41" spans="1:24">
      <c r="A41" s="148">
        <f t="shared" si="12"/>
        <v>41</v>
      </c>
      <c r="C41" s="617">
        <f t="shared" si="27"/>
        <v>180</v>
      </c>
      <c r="D41" s="12">
        <f t="shared" si="13"/>
        <v>241.38397612710509</v>
      </c>
      <c r="E41" s="63" t="str">
        <f t="shared" si="26"/>
        <v>Stroper met Opteller - 180kW / 241PK</v>
      </c>
      <c r="F41" s="135"/>
      <c r="G41" s="620">
        <f>MROUND(C41*((C41-INDEX(Aannames!$E$126:$E$132,MATCH(C41,Aannames!$E$126:$E$132,1)))/(INDEX(Aannames!$E$126:$E$132,MATCH(C41,Aannames!$E$126:$E$132,1)+1)-INDEX(Aannames!$E$126:$E$132,MATCH(C41,Aannames!$E$126:$E$132,1)))*INDEX(Aannames!$J$126:$J$132,MATCH(C41,Aannames!$E$126:$E$132,1)+1)
+(INDEX(Aannames!$E$126:$E$132,MATCH(C41,Aannames!$E$126:$E$132,1)+1)-C41)/(INDEX(Aannames!$E$126:$E$132,MATCH(C41,Aannames!$E$126:$E$132,1)+1)-INDEX(Aannames!$E$126:$E$132,MATCH(C41,Aannames!$E$126:$E$132,1)))*INDEX(Aannames!$J$126:$J$132,MATCH(C41,Aannames!$E$126:$E$132,1)))+VLOOKUP(C41,Aannames!$E$136:$J$137,COLUMNS(Aannames!$E$136:$J$136),TRUE),5000)</f>
        <v>3215000</v>
      </c>
      <c r="H41" s="629">
        <v>4000</v>
      </c>
      <c r="I41" s="629">
        <v>300</v>
      </c>
      <c r="J41" s="630">
        <v>40</v>
      </c>
      <c r="K41" s="594">
        <f t="shared" si="14"/>
        <v>723.40000000000009</v>
      </c>
      <c r="L41" s="594">
        <f t="shared" si="15"/>
        <v>103.15</v>
      </c>
      <c r="M41" s="600">
        <f t="shared" si="16"/>
        <v>618.90000000000009</v>
      </c>
      <c r="N41" s="601">
        <f t="shared" si="17"/>
        <v>1445.4500000000003</v>
      </c>
      <c r="O41" s="594">
        <f t="shared" si="18"/>
        <v>398.5</v>
      </c>
      <c r="P41" s="600">
        <f t="shared" si="19"/>
        <v>321.5</v>
      </c>
      <c r="Q41" s="631">
        <f t="shared" si="20"/>
        <v>720</v>
      </c>
      <c r="R41" s="594">
        <f t="shared" si="21"/>
        <v>1766.9500000000003</v>
      </c>
      <c r="S41" s="599">
        <f t="shared" si="22"/>
        <v>2165.4500000000003</v>
      </c>
      <c r="U41" s="603">
        <f t="shared" si="23"/>
        <v>1426.5550000000003</v>
      </c>
      <c r="V41" s="599">
        <f t="shared" si="24"/>
        <v>1825.0550000000003</v>
      </c>
      <c r="X41" s="767">
        <f t="shared" si="25"/>
        <v>32.4</v>
      </c>
    </row>
    <row r="42" spans="1:24">
      <c r="A42" s="93">
        <f t="shared" ref="A42:A63" si="29">IF(ISNUMBER(G42),ROW(),"")</f>
        <v>42</v>
      </c>
      <c r="C42" s="617">
        <f t="shared" si="27"/>
        <v>190</v>
      </c>
      <c r="D42" s="12">
        <f t="shared" si="13"/>
        <v>254.79419702305537</v>
      </c>
      <c r="E42" s="63" t="str">
        <f t="shared" si="26"/>
        <v>Stroper met Opteller - 190kW / 255PK</v>
      </c>
      <c r="F42" s="135"/>
      <c r="G42" s="620">
        <f>MROUND(C42*((C42-INDEX(Aannames!$E$126:$E$132,MATCH(C42,Aannames!$E$126:$E$132,1)))/(INDEX(Aannames!$E$126:$E$132,MATCH(C42,Aannames!$E$126:$E$132,1)+1)-INDEX(Aannames!$E$126:$E$132,MATCH(C42,Aannames!$E$126:$E$132,1)))*INDEX(Aannames!$J$126:$J$132,MATCH(C42,Aannames!$E$126:$E$132,1)+1)
+(INDEX(Aannames!$E$126:$E$132,MATCH(C42,Aannames!$E$126:$E$132,1)+1)-C42)/(INDEX(Aannames!$E$126:$E$132,MATCH(C42,Aannames!$E$126:$E$132,1)+1)-INDEX(Aannames!$E$126:$E$132,MATCH(C42,Aannames!$E$126:$E$132,1)))*INDEX(Aannames!$J$126:$J$132,MATCH(C42,Aannames!$E$126:$E$132,1)))+VLOOKUP(C42,Aannames!$E$136:$J$137,COLUMNS(Aannames!$E$136:$J$136),TRUE),5000)</f>
        <v>3365000</v>
      </c>
      <c r="H42" s="629">
        <v>4000</v>
      </c>
      <c r="I42" s="629">
        <v>300</v>
      </c>
      <c r="J42" s="630">
        <v>40</v>
      </c>
      <c r="K42" s="594">
        <f t="shared" si="14"/>
        <v>757.15000000000009</v>
      </c>
      <c r="L42" s="594">
        <f t="shared" si="15"/>
        <v>107.95</v>
      </c>
      <c r="M42" s="600">
        <f t="shared" si="16"/>
        <v>647.75</v>
      </c>
      <c r="N42" s="601">
        <f t="shared" si="17"/>
        <v>1512.8500000000001</v>
      </c>
      <c r="O42" s="594">
        <f t="shared" si="18"/>
        <v>420.65000000000003</v>
      </c>
      <c r="P42" s="600">
        <f t="shared" si="19"/>
        <v>336.5</v>
      </c>
      <c r="Q42" s="631">
        <f t="shared" si="20"/>
        <v>757.15000000000009</v>
      </c>
      <c r="R42" s="594">
        <f t="shared" si="21"/>
        <v>1849.3500000000001</v>
      </c>
      <c r="S42" s="599">
        <f t="shared" si="22"/>
        <v>2270</v>
      </c>
      <c r="U42" s="603">
        <f t="shared" si="23"/>
        <v>1493.0875000000001</v>
      </c>
      <c r="V42" s="599">
        <f t="shared" si="24"/>
        <v>1913.7375000000002</v>
      </c>
      <c r="X42" s="767">
        <f t="shared" si="25"/>
        <v>34.200000000000003</v>
      </c>
    </row>
    <row r="43" spans="1:24">
      <c r="A43" s="93">
        <f t="shared" si="29"/>
        <v>43</v>
      </c>
      <c r="C43" s="617">
        <f t="shared" si="27"/>
        <v>200</v>
      </c>
      <c r="D43" s="12">
        <f t="shared" si="13"/>
        <v>268.20441791900566</v>
      </c>
      <c r="E43" s="63" t="str">
        <f t="shared" si="26"/>
        <v>Stroper met Opteller - 200kW / 268PK</v>
      </c>
      <c r="F43" s="135"/>
      <c r="G43" s="620">
        <f>MROUND(C43*((C43-INDEX(Aannames!$E$126:$E$132,MATCH(C43,Aannames!$E$126:$E$132,1)))/(INDEX(Aannames!$E$126:$E$132,MATCH(C43,Aannames!$E$126:$E$132,1)+1)-INDEX(Aannames!$E$126:$E$132,MATCH(C43,Aannames!$E$126:$E$132,1)))*INDEX(Aannames!$J$126:$J$132,MATCH(C43,Aannames!$E$126:$E$132,1)+1)
+(INDEX(Aannames!$E$126:$E$132,MATCH(C43,Aannames!$E$126:$E$132,1)+1)-C43)/(INDEX(Aannames!$E$126:$E$132,MATCH(C43,Aannames!$E$126:$E$132,1)+1)-INDEX(Aannames!$E$126:$E$132,MATCH(C43,Aannames!$E$126:$E$132,1)))*INDEX(Aannames!$J$126:$J$132,MATCH(C43,Aannames!$E$126:$E$132,1)))+VLOOKUP(C43,Aannames!$E$136:$J$137,COLUMNS(Aannames!$E$136:$J$136),TRUE),5000)</f>
        <v>3520000</v>
      </c>
      <c r="H43" s="629">
        <v>4000</v>
      </c>
      <c r="I43" s="629">
        <v>300</v>
      </c>
      <c r="J43" s="630">
        <v>40</v>
      </c>
      <c r="K43" s="594">
        <f t="shared" si="14"/>
        <v>792</v>
      </c>
      <c r="L43" s="594">
        <f t="shared" si="15"/>
        <v>112.95</v>
      </c>
      <c r="M43" s="600">
        <f t="shared" si="16"/>
        <v>677.6</v>
      </c>
      <c r="N43" s="601">
        <f t="shared" si="17"/>
        <v>1582.5500000000002</v>
      </c>
      <c r="O43" s="594">
        <f t="shared" si="18"/>
        <v>442.8</v>
      </c>
      <c r="P43" s="600">
        <f t="shared" si="19"/>
        <v>352</v>
      </c>
      <c r="Q43" s="631">
        <f t="shared" si="20"/>
        <v>794.8</v>
      </c>
      <c r="R43" s="594">
        <f t="shared" si="21"/>
        <v>1934.5500000000002</v>
      </c>
      <c r="S43" s="599">
        <f t="shared" si="22"/>
        <v>2377.3500000000004</v>
      </c>
      <c r="U43" s="603">
        <f t="shared" si="23"/>
        <v>1561.8700000000001</v>
      </c>
      <c r="V43" s="599">
        <f t="shared" si="24"/>
        <v>2004.67</v>
      </c>
      <c r="X43" s="767">
        <f t="shared" si="25"/>
        <v>36</v>
      </c>
    </row>
    <row r="44" spans="1:24">
      <c r="A44" s="93">
        <f t="shared" si="29"/>
        <v>44</v>
      </c>
      <c r="C44" s="617">
        <f t="shared" si="27"/>
        <v>210</v>
      </c>
      <c r="D44" s="12">
        <f t="shared" si="13"/>
        <v>281.61463881495592</v>
      </c>
      <c r="E44" s="63" t="str">
        <f t="shared" si="26"/>
        <v>Stroper met Opteller - 210kW / 282PK</v>
      </c>
      <c r="F44" s="135"/>
      <c r="G44" s="620">
        <f>MROUND(C44*((C44-INDEX(Aannames!$E$126:$E$132,MATCH(C44,Aannames!$E$126:$E$132,1)))/(INDEX(Aannames!$E$126:$E$132,MATCH(C44,Aannames!$E$126:$E$132,1)+1)-INDEX(Aannames!$E$126:$E$132,MATCH(C44,Aannames!$E$126:$E$132,1)))*INDEX(Aannames!$J$126:$J$132,MATCH(C44,Aannames!$E$126:$E$132,1)+1)
+(INDEX(Aannames!$E$126:$E$132,MATCH(C44,Aannames!$E$126:$E$132,1)+1)-C44)/(INDEX(Aannames!$E$126:$E$132,MATCH(C44,Aannames!$E$126:$E$132,1)+1)-INDEX(Aannames!$E$126:$E$132,MATCH(C44,Aannames!$E$126:$E$132,1)))*INDEX(Aannames!$J$126:$J$132,MATCH(C44,Aannames!$E$126:$E$132,1)))+VLOOKUP(C44,Aannames!$E$136:$J$137,COLUMNS(Aannames!$E$136:$J$136),TRUE),5000)</f>
        <v>3670000</v>
      </c>
      <c r="H44" s="629">
        <v>4000</v>
      </c>
      <c r="I44" s="629">
        <v>300</v>
      </c>
      <c r="J44" s="630">
        <v>40</v>
      </c>
      <c r="K44" s="594">
        <f t="shared" si="14"/>
        <v>825.75</v>
      </c>
      <c r="L44" s="594">
        <f t="shared" si="15"/>
        <v>117.75</v>
      </c>
      <c r="M44" s="600">
        <f t="shared" si="16"/>
        <v>706.5</v>
      </c>
      <c r="N44" s="601">
        <f t="shared" si="17"/>
        <v>1650</v>
      </c>
      <c r="O44" s="594">
        <f t="shared" si="18"/>
        <v>464.95000000000005</v>
      </c>
      <c r="P44" s="600">
        <f t="shared" si="19"/>
        <v>367</v>
      </c>
      <c r="Q44" s="631">
        <f t="shared" si="20"/>
        <v>831.95</v>
      </c>
      <c r="R44" s="594">
        <f t="shared" si="21"/>
        <v>2017</v>
      </c>
      <c r="S44" s="599">
        <f t="shared" si="22"/>
        <v>2481.9499999999998</v>
      </c>
      <c r="U44" s="603">
        <f t="shared" si="23"/>
        <v>1628.425</v>
      </c>
      <c r="V44" s="599">
        <f t="shared" si="24"/>
        <v>2093.375</v>
      </c>
      <c r="X44" s="767">
        <f t="shared" si="25"/>
        <v>37.800000000000004</v>
      </c>
    </row>
    <row r="45" spans="1:24">
      <c r="A45" s="93">
        <f t="shared" si="29"/>
        <v>45</v>
      </c>
      <c r="C45" s="617">
        <f t="shared" si="27"/>
        <v>220</v>
      </c>
      <c r="D45" s="12">
        <f t="shared" si="13"/>
        <v>295.02485971090618</v>
      </c>
      <c r="E45" s="63" t="str">
        <f t="shared" si="26"/>
        <v>Stroper met Opteller - 220kW / 295PK</v>
      </c>
      <c r="F45" s="135"/>
      <c r="G45" s="620">
        <f>MROUND(C45*((C45-INDEX(Aannames!$E$126:$E$132,MATCH(C45,Aannames!$E$126:$E$132,1)))/(INDEX(Aannames!$E$126:$E$132,MATCH(C45,Aannames!$E$126:$E$132,1)+1)-INDEX(Aannames!$E$126:$E$132,MATCH(C45,Aannames!$E$126:$E$132,1)))*INDEX(Aannames!$J$126:$J$132,MATCH(C45,Aannames!$E$126:$E$132,1)+1)
+(INDEX(Aannames!$E$126:$E$132,MATCH(C45,Aannames!$E$126:$E$132,1)+1)-C45)/(INDEX(Aannames!$E$126:$E$132,MATCH(C45,Aannames!$E$126:$E$132,1)+1)-INDEX(Aannames!$E$126:$E$132,MATCH(C45,Aannames!$E$126:$E$132,1)))*INDEX(Aannames!$J$126:$J$132,MATCH(C45,Aannames!$E$126:$E$132,1)))+VLOOKUP(C45,Aannames!$E$136:$J$137,COLUMNS(Aannames!$E$136:$J$136),TRUE),5000)</f>
        <v>3815000</v>
      </c>
      <c r="H45" s="629">
        <v>4000</v>
      </c>
      <c r="I45" s="629">
        <v>300</v>
      </c>
      <c r="J45" s="630">
        <v>40</v>
      </c>
      <c r="K45" s="594">
        <f t="shared" si="14"/>
        <v>858.40000000000009</v>
      </c>
      <c r="L45" s="594">
        <f t="shared" si="15"/>
        <v>122.4</v>
      </c>
      <c r="M45" s="600">
        <f t="shared" si="16"/>
        <v>734.40000000000009</v>
      </c>
      <c r="N45" s="601">
        <f t="shared" si="17"/>
        <v>1715.2000000000003</v>
      </c>
      <c r="O45" s="594">
        <f t="shared" si="18"/>
        <v>487.1</v>
      </c>
      <c r="P45" s="600">
        <f t="shared" si="19"/>
        <v>381.5</v>
      </c>
      <c r="Q45" s="631">
        <f t="shared" si="20"/>
        <v>868.6</v>
      </c>
      <c r="R45" s="594">
        <f t="shared" si="21"/>
        <v>2096.7000000000003</v>
      </c>
      <c r="S45" s="599">
        <f t="shared" si="22"/>
        <v>2583.8000000000002</v>
      </c>
      <c r="U45" s="603">
        <f t="shared" si="23"/>
        <v>1692.7800000000002</v>
      </c>
      <c r="V45" s="599">
        <f t="shared" si="24"/>
        <v>2179.88</v>
      </c>
      <c r="X45" s="767">
        <f t="shared" si="25"/>
        <v>39.6</v>
      </c>
    </row>
    <row r="46" spans="1:24">
      <c r="A46" s="93">
        <f t="shared" si="29"/>
        <v>46</v>
      </c>
      <c r="C46" s="617">
        <f t="shared" si="27"/>
        <v>230</v>
      </c>
      <c r="D46" s="12">
        <f t="shared" si="13"/>
        <v>308.4350806068565</v>
      </c>
      <c r="E46" s="63" t="str">
        <f t="shared" si="26"/>
        <v>Stroper met Opteller - 230kW / 308PK</v>
      </c>
      <c r="F46" s="135"/>
      <c r="G46" s="620">
        <f>MROUND(C46*((C46-INDEX(Aannames!$E$126:$E$132,MATCH(C46,Aannames!$E$126:$E$132,1)))/(INDEX(Aannames!$E$126:$E$132,MATCH(C46,Aannames!$E$126:$E$132,1)+1)-INDEX(Aannames!$E$126:$E$132,MATCH(C46,Aannames!$E$126:$E$132,1)))*INDEX(Aannames!$J$126:$J$132,MATCH(C46,Aannames!$E$126:$E$132,1)+1)
+(INDEX(Aannames!$E$126:$E$132,MATCH(C46,Aannames!$E$126:$E$132,1)+1)-C46)/(INDEX(Aannames!$E$126:$E$132,MATCH(C46,Aannames!$E$126:$E$132,1)+1)-INDEX(Aannames!$E$126:$E$132,MATCH(C46,Aannames!$E$126:$E$132,1)))*INDEX(Aannames!$J$126:$J$132,MATCH(C46,Aannames!$E$126:$E$132,1)))+VLOOKUP(C46,Aannames!$E$136:$J$137,COLUMNS(Aannames!$E$136:$J$136),TRUE),5000)</f>
        <v>3965000</v>
      </c>
      <c r="H46" s="629">
        <v>4000</v>
      </c>
      <c r="I46" s="629">
        <v>300</v>
      </c>
      <c r="J46" s="630">
        <v>40</v>
      </c>
      <c r="K46" s="594">
        <f t="shared" si="14"/>
        <v>892.15000000000009</v>
      </c>
      <c r="L46" s="594">
        <f t="shared" si="15"/>
        <v>127.2</v>
      </c>
      <c r="M46" s="600">
        <f t="shared" si="16"/>
        <v>763.25</v>
      </c>
      <c r="N46" s="601">
        <f t="shared" si="17"/>
        <v>1782.6000000000001</v>
      </c>
      <c r="O46" s="594">
        <f t="shared" si="18"/>
        <v>509.20000000000005</v>
      </c>
      <c r="P46" s="600">
        <f t="shared" si="19"/>
        <v>396.5</v>
      </c>
      <c r="Q46" s="631">
        <f t="shared" si="20"/>
        <v>905.7</v>
      </c>
      <c r="R46" s="594">
        <f t="shared" si="21"/>
        <v>2179.1000000000004</v>
      </c>
      <c r="S46" s="599">
        <f t="shared" si="22"/>
        <v>2688.3</v>
      </c>
      <c r="U46" s="603">
        <f t="shared" si="23"/>
        <v>1759.3125000000005</v>
      </c>
      <c r="V46" s="599">
        <f t="shared" si="24"/>
        <v>2268.5125000000007</v>
      </c>
      <c r="X46" s="767">
        <f t="shared" si="25"/>
        <v>41.400000000000006</v>
      </c>
    </row>
    <row r="47" spans="1:24">
      <c r="A47" s="93">
        <f t="shared" si="29"/>
        <v>47</v>
      </c>
      <c r="C47" s="617">
        <f t="shared" si="27"/>
        <v>240</v>
      </c>
      <c r="D47" s="12">
        <f t="shared" si="13"/>
        <v>321.84530150280676</v>
      </c>
      <c r="E47" s="63" t="str">
        <f t="shared" si="26"/>
        <v>Stroper met Opteller - 240kW / 322PK</v>
      </c>
      <c r="F47" s="135"/>
      <c r="G47" s="620">
        <f>MROUND(C47*((C47-INDEX(Aannames!$E$126:$E$132,MATCH(C47,Aannames!$E$126:$E$132,1)))/(INDEX(Aannames!$E$126:$E$132,MATCH(C47,Aannames!$E$126:$E$132,1)+1)-INDEX(Aannames!$E$126:$E$132,MATCH(C47,Aannames!$E$126:$E$132,1)))*INDEX(Aannames!$J$126:$J$132,MATCH(C47,Aannames!$E$126:$E$132,1)+1)
+(INDEX(Aannames!$E$126:$E$132,MATCH(C47,Aannames!$E$126:$E$132,1)+1)-C47)/(INDEX(Aannames!$E$126:$E$132,MATCH(C47,Aannames!$E$126:$E$132,1)+1)-INDEX(Aannames!$E$126:$E$132,MATCH(C47,Aannames!$E$126:$E$132,1)))*INDEX(Aannames!$J$126:$J$132,MATCH(C47,Aannames!$E$126:$E$132,1)))+VLOOKUP(C47,Aannames!$E$136:$J$137,COLUMNS(Aannames!$E$136:$J$136),TRUE),5000)</f>
        <v>4110000</v>
      </c>
      <c r="H47" s="629">
        <v>4000</v>
      </c>
      <c r="I47" s="629">
        <v>300</v>
      </c>
      <c r="J47" s="630">
        <v>40</v>
      </c>
      <c r="K47" s="594">
        <f t="shared" si="14"/>
        <v>924.75</v>
      </c>
      <c r="L47" s="594">
        <f t="shared" si="15"/>
        <v>131.85</v>
      </c>
      <c r="M47" s="600">
        <f t="shared" si="16"/>
        <v>791.15000000000009</v>
      </c>
      <c r="N47" s="601">
        <f t="shared" si="17"/>
        <v>1847.75</v>
      </c>
      <c r="O47" s="594">
        <f t="shared" si="18"/>
        <v>531.35</v>
      </c>
      <c r="P47" s="600">
        <f t="shared" si="19"/>
        <v>411</v>
      </c>
      <c r="Q47" s="631">
        <f t="shared" si="20"/>
        <v>942.35</v>
      </c>
      <c r="R47" s="594">
        <f t="shared" si="21"/>
        <v>2258.75</v>
      </c>
      <c r="S47" s="599">
        <f t="shared" si="22"/>
        <v>2790.1</v>
      </c>
      <c r="U47" s="603">
        <f t="shared" si="23"/>
        <v>1823.6174999999998</v>
      </c>
      <c r="V47" s="599">
        <f t="shared" si="24"/>
        <v>2354.9674999999997</v>
      </c>
      <c r="X47" s="767">
        <f t="shared" si="25"/>
        <v>43.2</v>
      </c>
    </row>
    <row r="48" spans="1:24">
      <c r="A48" s="93">
        <f t="shared" si="29"/>
        <v>48</v>
      </c>
      <c r="C48" s="617">
        <f t="shared" si="27"/>
        <v>250</v>
      </c>
      <c r="D48" s="12">
        <f t="shared" si="13"/>
        <v>335.25552239875708</v>
      </c>
      <c r="E48" s="63" t="str">
        <f t="shared" si="26"/>
        <v>Stroper met Opteller - 250kW / 335PK</v>
      </c>
      <c r="F48" s="135"/>
      <c r="G48" s="620">
        <f>MROUND(C48*((C48-INDEX(Aannames!$E$126:$E$132,MATCH(C48,Aannames!$E$126:$E$132,1)))/(INDEX(Aannames!$E$126:$E$132,MATCH(C48,Aannames!$E$126:$E$132,1)+1)-INDEX(Aannames!$E$126:$E$132,MATCH(C48,Aannames!$E$126:$E$132,1)))*INDEX(Aannames!$J$126:$J$132,MATCH(C48,Aannames!$E$126:$E$132,1)+1)
+(INDEX(Aannames!$E$126:$E$132,MATCH(C48,Aannames!$E$126:$E$132,1)+1)-C48)/(INDEX(Aannames!$E$126:$E$132,MATCH(C48,Aannames!$E$126:$E$132,1)+1)-INDEX(Aannames!$E$126:$E$132,MATCH(C48,Aannames!$E$126:$E$132,1)))*INDEX(Aannames!$J$126:$J$132,MATCH(C48,Aannames!$E$126:$E$132,1)))+VLOOKUP(C48,Aannames!$E$136:$J$137,COLUMNS(Aannames!$E$136:$J$136),TRUE),5000)</f>
        <v>4210000</v>
      </c>
      <c r="H48" s="629">
        <v>4000</v>
      </c>
      <c r="I48" s="629">
        <v>300</v>
      </c>
      <c r="J48" s="630">
        <v>40</v>
      </c>
      <c r="K48" s="594">
        <f t="shared" si="14"/>
        <v>947.25</v>
      </c>
      <c r="L48" s="594">
        <f t="shared" si="15"/>
        <v>135.05000000000001</v>
      </c>
      <c r="M48" s="600">
        <f t="shared" si="16"/>
        <v>810.40000000000009</v>
      </c>
      <c r="N48" s="601">
        <f t="shared" si="17"/>
        <v>1892.7</v>
      </c>
      <c r="O48" s="594">
        <f t="shared" si="18"/>
        <v>553.5</v>
      </c>
      <c r="P48" s="600">
        <f t="shared" si="19"/>
        <v>421</v>
      </c>
      <c r="Q48" s="631">
        <f t="shared" si="20"/>
        <v>974.5</v>
      </c>
      <c r="R48" s="594">
        <f t="shared" si="21"/>
        <v>2313.6999999999998</v>
      </c>
      <c r="S48" s="599">
        <f t="shared" si="22"/>
        <v>2867.2</v>
      </c>
      <c r="U48" s="603">
        <f t="shared" si="23"/>
        <v>1867.9799999999998</v>
      </c>
      <c r="V48" s="599">
        <f t="shared" si="24"/>
        <v>2421.4799999999996</v>
      </c>
      <c r="X48" s="767">
        <f t="shared" si="25"/>
        <v>45</v>
      </c>
    </row>
    <row r="49" spans="1:24">
      <c r="A49" s="93">
        <f t="shared" si="29"/>
        <v>49</v>
      </c>
      <c r="C49" s="617">
        <f t="shared" si="27"/>
        <v>260</v>
      </c>
      <c r="D49" s="12">
        <f t="shared" si="13"/>
        <v>348.66574329470734</v>
      </c>
      <c r="E49" s="63" t="str">
        <f t="shared" si="26"/>
        <v>Stroper met Opteller - 260kW / 349PK</v>
      </c>
      <c r="F49" s="135"/>
      <c r="G49" s="620">
        <f>MROUND(C49*((C49-INDEX(Aannames!$E$126:$E$132,MATCH(C49,Aannames!$E$126:$E$132,1)))/(INDEX(Aannames!$E$126:$E$132,MATCH(C49,Aannames!$E$126:$E$132,1)+1)-INDEX(Aannames!$E$126:$E$132,MATCH(C49,Aannames!$E$126:$E$132,1)))*INDEX(Aannames!$J$126:$J$132,MATCH(C49,Aannames!$E$126:$E$132,1)+1)
+(INDEX(Aannames!$E$126:$E$132,MATCH(C49,Aannames!$E$126:$E$132,1)+1)-C49)/(INDEX(Aannames!$E$126:$E$132,MATCH(C49,Aannames!$E$126:$E$132,1)+1)-INDEX(Aannames!$E$126:$E$132,MATCH(C49,Aannames!$E$126:$E$132,1)))*INDEX(Aannames!$J$126:$J$132,MATCH(C49,Aannames!$E$126:$E$132,1)))+VLOOKUP(C49,Aannames!$E$136:$J$137,COLUMNS(Aannames!$E$136:$J$136),TRUE),5000)</f>
        <v>4310000</v>
      </c>
      <c r="H49" s="629">
        <v>4000</v>
      </c>
      <c r="I49" s="629">
        <v>300</v>
      </c>
      <c r="J49" s="630">
        <v>40</v>
      </c>
      <c r="K49" s="594">
        <f t="shared" si="14"/>
        <v>969.75</v>
      </c>
      <c r="L49" s="594">
        <f t="shared" si="15"/>
        <v>138.30000000000001</v>
      </c>
      <c r="M49" s="600">
        <f t="shared" si="16"/>
        <v>829.65000000000009</v>
      </c>
      <c r="N49" s="601">
        <f t="shared" si="17"/>
        <v>1937.7</v>
      </c>
      <c r="O49" s="594">
        <f t="shared" si="18"/>
        <v>575.65</v>
      </c>
      <c r="P49" s="600">
        <f t="shared" si="19"/>
        <v>431</v>
      </c>
      <c r="Q49" s="631">
        <f t="shared" si="20"/>
        <v>1006.65</v>
      </c>
      <c r="R49" s="594">
        <f t="shared" si="21"/>
        <v>2368.6999999999998</v>
      </c>
      <c r="S49" s="599">
        <f t="shared" si="22"/>
        <v>2944.35</v>
      </c>
      <c r="U49" s="603">
        <f t="shared" si="23"/>
        <v>1912.3924999999997</v>
      </c>
      <c r="V49" s="599">
        <f t="shared" si="24"/>
        <v>2488.0424999999996</v>
      </c>
      <c r="X49" s="767">
        <f t="shared" si="25"/>
        <v>46.800000000000004</v>
      </c>
    </row>
    <row r="50" spans="1:24">
      <c r="A50" s="93">
        <f t="shared" si="29"/>
        <v>50</v>
      </c>
      <c r="C50" s="617">
        <f t="shared" si="27"/>
        <v>270</v>
      </c>
      <c r="D50" s="12">
        <f t="shared" si="13"/>
        <v>362.0759641906576</v>
      </c>
      <c r="E50" s="63" t="str">
        <f t="shared" si="26"/>
        <v>Stroper met Opteller - 270kW / 362PK</v>
      </c>
      <c r="F50" s="135"/>
      <c r="G50" s="620">
        <f>MROUND(C50*((C50-INDEX(Aannames!$E$126:$E$132,MATCH(C50,Aannames!$E$126:$E$132,1)))/(INDEX(Aannames!$E$126:$E$132,MATCH(C50,Aannames!$E$126:$E$132,1)+1)-INDEX(Aannames!$E$126:$E$132,MATCH(C50,Aannames!$E$126:$E$132,1)))*INDEX(Aannames!$J$126:$J$132,MATCH(C50,Aannames!$E$126:$E$132,1)+1)
+(INDEX(Aannames!$E$126:$E$132,MATCH(C50,Aannames!$E$126:$E$132,1)+1)-C50)/(INDEX(Aannames!$E$126:$E$132,MATCH(C50,Aannames!$E$126:$E$132,1)+1)-INDEX(Aannames!$E$126:$E$132,MATCH(C50,Aannames!$E$126:$E$132,1)))*INDEX(Aannames!$J$126:$J$132,MATCH(C50,Aannames!$E$126:$E$132,1)))+VLOOKUP(C50,Aannames!$E$136:$J$137,COLUMNS(Aannames!$E$136:$J$136),TRUE),5000)</f>
        <v>4400000</v>
      </c>
      <c r="H50" s="629">
        <v>4000</v>
      </c>
      <c r="I50" s="629">
        <v>300</v>
      </c>
      <c r="J50" s="630">
        <v>40</v>
      </c>
      <c r="K50" s="594">
        <f t="shared" si="14"/>
        <v>990</v>
      </c>
      <c r="L50" s="594">
        <f t="shared" si="15"/>
        <v>141.15</v>
      </c>
      <c r="M50" s="600">
        <f t="shared" si="16"/>
        <v>847</v>
      </c>
      <c r="N50" s="601">
        <f t="shared" si="17"/>
        <v>1978.15</v>
      </c>
      <c r="O50" s="594">
        <f t="shared" si="18"/>
        <v>597.80000000000007</v>
      </c>
      <c r="P50" s="600">
        <f t="shared" si="19"/>
        <v>440</v>
      </c>
      <c r="Q50" s="631">
        <f t="shared" si="20"/>
        <v>1037.8000000000002</v>
      </c>
      <c r="R50" s="594">
        <f t="shared" si="21"/>
        <v>2418.15</v>
      </c>
      <c r="S50" s="599">
        <f t="shared" si="22"/>
        <v>3015.9500000000003</v>
      </c>
      <c r="U50" s="603">
        <f t="shared" si="23"/>
        <v>1952.3000000000002</v>
      </c>
      <c r="V50" s="599">
        <f t="shared" si="24"/>
        <v>2550.1000000000004</v>
      </c>
      <c r="X50" s="767">
        <f t="shared" si="25"/>
        <v>48.6</v>
      </c>
    </row>
    <row r="51" spans="1:24">
      <c r="A51" s="93">
        <f t="shared" si="29"/>
        <v>51</v>
      </c>
      <c r="C51" s="617">
        <f t="shared" si="27"/>
        <v>280</v>
      </c>
      <c r="D51" s="12">
        <f t="shared" si="13"/>
        <v>375.48618508660792</v>
      </c>
      <c r="E51" s="63" t="str">
        <f t="shared" si="26"/>
        <v>Stroper met Opteller - 280kW / 375PK</v>
      </c>
      <c r="F51" s="135"/>
      <c r="G51" s="620">
        <f>MROUND(C51*((C51-INDEX(Aannames!$E$126:$E$132,MATCH(C51,Aannames!$E$126:$E$132,1)))/(INDEX(Aannames!$E$126:$E$132,MATCH(C51,Aannames!$E$126:$E$132,1)+1)-INDEX(Aannames!$E$126:$E$132,MATCH(C51,Aannames!$E$126:$E$132,1)))*INDEX(Aannames!$J$126:$J$132,MATCH(C51,Aannames!$E$126:$E$132,1)+1)
+(INDEX(Aannames!$E$126:$E$132,MATCH(C51,Aannames!$E$126:$E$132,1)+1)-C51)/(INDEX(Aannames!$E$126:$E$132,MATCH(C51,Aannames!$E$126:$E$132,1)+1)-INDEX(Aannames!$E$126:$E$132,MATCH(C51,Aannames!$E$126:$E$132,1)))*INDEX(Aannames!$J$126:$J$132,MATCH(C51,Aannames!$E$126:$E$132,1)))+VLOOKUP(C51,Aannames!$E$136:$J$137,COLUMNS(Aannames!$E$136:$J$136),TRUE),5000)</f>
        <v>4490000</v>
      </c>
      <c r="H51" s="629">
        <v>4000</v>
      </c>
      <c r="I51" s="629">
        <v>300</v>
      </c>
      <c r="J51" s="630">
        <v>40</v>
      </c>
      <c r="K51" s="594">
        <f t="shared" si="14"/>
        <v>1010.25</v>
      </c>
      <c r="L51" s="594">
        <f t="shared" si="15"/>
        <v>144.05000000000001</v>
      </c>
      <c r="M51" s="600">
        <f t="shared" si="16"/>
        <v>864.35</v>
      </c>
      <c r="N51" s="601">
        <f t="shared" si="17"/>
        <v>2018.65</v>
      </c>
      <c r="O51" s="594">
        <f t="shared" si="18"/>
        <v>619.90000000000009</v>
      </c>
      <c r="P51" s="600">
        <f t="shared" si="19"/>
        <v>449</v>
      </c>
      <c r="Q51" s="631">
        <f t="shared" si="20"/>
        <v>1068.9000000000001</v>
      </c>
      <c r="R51" s="594">
        <f t="shared" si="21"/>
        <v>2467.65</v>
      </c>
      <c r="S51" s="599">
        <f t="shared" si="22"/>
        <v>3087.55</v>
      </c>
      <c r="U51" s="603">
        <f t="shared" si="23"/>
        <v>1992.2575000000002</v>
      </c>
      <c r="V51" s="599">
        <f t="shared" si="24"/>
        <v>2612.1575000000003</v>
      </c>
      <c r="X51" s="767">
        <f t="shared" si="25"/>
        <v>50.400000000000006</v>
      </c>
    </row>
    <row r="52" spans="1:24">
      <c r="A52" s="93">
        <f t="shared" si="29"/>
        <v>52</v>
      </c>
      <c r="C52" s="617">
        <f t="shared" si="27"/>
        <v>290</v>
      </c>
      <c r="D52" s="12">
        <f t="shared" si="13"/>
        <v>388.89640598255818</v>
      </c>
      <c r="E52" s="63" t="str">
        <f t="shared" si="26"/>
        <v>Stroper met Opteller - 290kW / 389PK</v>
      </c>
      <c r="F52" s="135"/>
      <c r="G52" s="620">
        <f>MROUND(C52*((C52-INDEX(Aannames!$E$126:$E$132,MATCH(C52,Aannames!$E$126:$E$132,1)))/(INDEX(Aannames!$E$126:$E$132,MATCH(C52,Aannames!$E$126:$E$132,1)+1)-INDEX(Aannames!$E$126:$E$132,MATCH(C52,Aannames!$E$126:$E$132,1)))*INDEX(Aannames!$J$126:$J$132,MATCH(C52,Aannames!$E$126:$E$132,1)+1)
+(INDEX(Aannames!$E$126:$E$132,MATCH(C52,Aannames!$E$126:$E$132,1)+1)-C52)/(INDEX(Aannames!$E$126:$E$132,MATCH(C52,Aannames!$E$126:$E$132,1)+1)-INDEX(Aannames!$E$126:$E$132,MATCH(C52,Aannames!$E$126:$E$132,1)))*INDEX(Aannames!$J$126:$J$132,MATCH(C52,Aannames!$E$126:$E$132,1)))+VLOOKUP(C52,Aannames!$E$136:$J$137,COLUMNS(Aannames!$E$136:$J$136),TRUE),5000)</f>
        <v>4595000</v>
      </c>
      <c r="H52" s="629">
        <v>4000</v>
      </c>
      <c r="I52" s="629">
        <v>300</v>
      </c>
      <c r="J52" s="630">
        <v>40</v>
      </c>
      <c r="K52" s="594">
        <f t="shared" si="14"/>
        <v>1033.9000000000001</v>
      </c>
      <c r="L52" s="594">
        <f t="shared" si="15"/>
        <v>147.4</v>
      </c>
      <c r="M52" s="600">
        <f t="shared" si="16"/>
        <v>884.55000000000007</v>
      </c>
      <c r="N52" s="601">
        <f t="shared" si="17"/>
        <v>2065.8500000000004</v>
      </c>
      <c r="O52" s="594">
        <f t="shared" si="18"/>
        <v>642.05000000000007</v>
      </c>
      <c r="P52" s="600">
        <f t="shared" si="19"/>
        <v>459.5</v>
      </c>
      <c r="Q52" s="631">
        <f t="shared" si="20"/>
        <v>1101.5500000000002</v>
      </c>
      <c r="R52" s="594">
        <f t="shared" si="21"/>
        <v>2525.3500000000004</v>
      </c>
      <c r="S52" s="599">
        <f t="shared" si="22"/>
        <v>3167.4000000000005</v>
      </c>
      <c r="U52" s="603">
        <f t="shared" si="23"/>
        <v>2038.8475000000003</v>
      </c>
      <c r="V52" s="599">
        <f t="shared" si="24"/>
        <v>2680.8975000000005</v>
      </c>
      <c r="X52" s="767">
        <f t="shared" si="25"/>
        <v>52.2</v>
      </c>
    </row>
    <row r="53" spans="1:24">
      <c r="A53" s="93">
        <f t="shared" si="29"/>
        <v>53</v>
      </c>
      <c r="C53" s="617">
        <f t="shared" si="27"/>
        <v>300</v>
      </c>
      <c r="D53" s="12">
        <f t="shared" si="13"/>
        <v>402.30662687850844</v>
      </c>
      <c r="E53" s="63" t="str">
        <f t="shared" si="26"/>
        <v>Stroper met Opteller - 300kW / 402PK</v>
      </c>
      <c r="F53" s="135"/>
      <c r="G53" s="620">
        <f>MROUND(C53*((C53-INDEX(Aannames!$E$126:$E$132,MATCH(C53,Aannames!$E$126:$E$132,1)))/(INDEX(Aannames!$E$126:$E$132,MATCH(C53,Aannames!$E$126:$E$132,1)+1)-INDEX(Aannames!$E$126:$E$132,MATCH(C53,Aannames!$E$126:$E$132,1)))*INDEX(Aannames!$J$126:$J$132,MATCH(C53,Aannames!$E$126:$E$132,1)+1)
+(INDEX(Aannames!$E$126:$E$132,MATCH(C53,Aannames!$E$126:$E$132,1)+1)-C53)/(INDEX(Aannames!$E$126:$E$132,MATCH(C53,Aannames!$E$126:$E$132,1)+1)-INDEX(Aannames!$E$126:$E$132,MATCH(C53,Aannames!$E$126:$E$132,1)))*INDEX(Aannames!$J$126:$J$132,MATCH(C53,Aannames!$E$126:$E$132,1)))+VLOOKUP(C53,Aannames!$E$136:$J$137,COLUMNS(Aannames!$E$136:$J$136),TRUE),5000)</f>
        <v>4695000</v>
      </c>
      <c r="H53" s="629">
        <v>4000</v>
      </c>
      <c r="I53" s="629">
        <v>300</v>
      </c>
      <c r="J53" s="630">
        <v>40</v>
      </c>
      <c r="K53" s="594">
        <f t="shared" si="14"/>
        <v>1056.4000000000001</v>
      </c>
      <c r="L53" s="594">
        <f t="shared" si="15"/>
        <v>150.65</v>
      </c>
      <c r="M53" s="600">
        <f t="shared" si="16"/>
        <v>903.80000000000007</v>
      </c>
      <c r="N53" s="601">
        <f t="shared" si="17"/>
        <v>2110.8500000000004</v>
      </c>
      <c r="O53" s="594">
        <f t="shared" si="18"/>
        <v>664.2</v>
      </c>
      <c r="P53" s="600">
        <f t="shared" si="19"/>
        <v>469.5</v>
      </c>
      <c r="Q53" s="631">
        <f t="shared" si="20"/>
        <v>1133.7</v>
      </c>
      <c r="R53" s="594">
        <f t="shared" si="21"/>
        <v>2580.3500000000004</v>
      </c>
      <c r="S53" s="599">
        <f t="shared" si="22"/>
        <v>3244.55</v>
      </c>
      <c r="U53" s="603">
        <f t="shared" si="23"/>
        <v>2083.2600000000002</v>
      </c>
      <c r="V53" s="599">
        <f t="shared" si="24"/>
        <v>2747.46</v>
      </c>
      <c r="X53" s="767">
        <f t="shared" si="25"/>
        <v>54</v>
      </c>
    </row>
    <row r="54" spans="1:24">
      <c r="A54" s="93">
        <f t="shared" si="29"/>
        <v>54</v>
      </c>
      <c r="C54" s="617">
        <f t="shared" si="27"/>
        <v>310</v>
      </c>
      <c r="D54" s="12">
        <f t="shared" si="13"/>
        <v>415.71684777445876</v>
      </c>
      <c r="E54" s="63" t="str">
        <f t="shared" si="26"/>
        <v>Stroper met Opteller - 310kW / 416PK</v>
      </c>
      <c r="F54" s="135"/>
      <c r="G54" s="620">
        <f>MROUND(C54*((C54-INDEX(Aannames!$E$126:$E$132,MATCH(C54,Aannames!$E$126:$E$132,1)))/(INDEX(Aannames!$E$126:$E$132,MATCH(C54,Aannames!$E$126:$E$132,1)+1)-INDEX(Aannames!$E$126:$E$132,MATCH(C54,Aannames!$E$126:$E$132,1)))*INDEX(Aannames!$J$126:$J$132,MATCH(C54,Aannames!$E$126:$E$132,1)+1)
+(INDEX(Aannames!$E$126:$E$132,MATCH(C54,Aannames!$E$126:$E$132,1)+1)-C54)/(INDEX(Aannames!$E$126:$E$132,MATCH(C54,Aannames!$E$126:$E$132,1)+1)-INDEX(Aannames!$E$126:$E$132,MATCH(C54,Aannames!$E$126:$E$132,1)))*INDEX(Aannames!$J$126:$J$132,MATCH(C54,Aannames!$E$126:$E$132,1)))+VLOOKUP(C54,Aannames!$E$136:$J$137,COLUMNS(Aannames!$E$136:$J$136),TRUE),5000)</f>
        <v>4795000</v>
      </c>
      <c r="H54" s="629">
        <v>4000</v>
      </c>
      <c r="I54" s="629">
        <v>300</v>
      </c>
      <c r="J54" s="630">
        <v>40</v>
      </c>
      <c r="K54" s="594">
        <f t="shared" si="14"/>
        <v>1078.9000000000001</v>
      </c>
      <c r="L54" s="594">
        <f t="shared" si="15"/>
        <v>153.85000000000002</v>
      </c>
      <c r="M54" s="600">
        <f t="shared" si="16"/>
        <v>923.05000000000007</v>
      </c>
      <c r="N54" s="601">
        <f t="shared" si="17"/>
        <v>2155.8000000000002</v>
      </c>
      <c r="O54" s="594">
        <f t="shared" si="18"/>
        <v>686.35</v>
      </c>
      <c r="P54" s="600">
        <f t="shared" si="19"/>
        <v>479.5</v>
      </c>
      <c r="Q54" s="631">
        <f t="shared" si="20"/>
        <v>1165.8499999999999</v>
      </c>
      <c r="R54" s="594">
        <f t="shared" si="21"/>
        <v>2635.3</v>
      </c>
      <c r="S54" s="599">
        <f t="shared" si="22"/>
        <v>3321.65</v>
      </c>
      <c r="U54" s="603">
        <f t="shared" si="23"/>
        <v>2127.6224999999999</v>
      </c>
      <c r="V54" s="599">
        <f t="shared" si="24"/>
        <v>2813.9724999999999</v>
      </c>
      <c r="X54" s="767">
        <f t="shared" si="25"/>
        <v>55.800000000000004</v>
      </c>
    </row>
    <row r="55" spans="1:24">
      <c r="A55" s="93">
        <f t="shared" si="29"/>
        <v>55</v>
      </c>
      <c r="C55" s="617">
        <f t="shared" si="27"/>
        <v>320</v>
      </c>
      <c r="D55" s="12">
        <f t="shared" si="13"/>
        <v>429.12706867040902</v>
      </c>
      <c r="E55" s="63" t="str">
        <f t="shared" si="26"/>
        <v>Stroper met Opteller - 320kW / 429PK</v>
      </c>
      <c r="F55" s="135"/>
      <c r="G55" s="620">
        <f>MROUND(C55*((C55-INDEX(Aannames!$E$126:$E$132,MATCH(C55,Aannames!$E$126:$E$132,1)))/(INDEX(Aannames!$E$126:$E$132,MATCH(C55,Aannames!$E$126:$E$132,1)+1)-INDEX(Aannames!$E$126:$E$132,MATCH(C55,Aannames!$E$126:$E$132,1)))*INDEX(Aannames!$J$126:$J$132,MATCH(C55,Aannames!$E$126:$E$132,1)+1)
+(INDEX(Aannames!$E$126:$E$132,MATCH(C55,Aannames!$E$126:$E$132,1)+1)-C55)/(INDEX(Aannames!$E$126:$E$132,MATCH(C55,Aannames!$E$126:$E$132,1)+1)-INDEX(Aannames!$E$126:$E$132,MATCH(C55,Aannames!$E$126:$E$132,1)))*INDEX(Aannames!$J$126:$J$132,MATCH(C55,Aannames!$E$126:$E$132,1)))+VLOOKUP(C55,Aannames!$E$136:$J$137,COLUMNS(Aannames!$E$136:$J$136),TRUE),5000)</f>
        <v>4890000</v>
      </c>
      <c r="H55" s="629">
        <v>4000</v>
      </c>
      <c r="I55" s="629">
        <v>300</v>
      </c>
      <c r="J55" s="630">
        <v>40</v>
      </c>
      <c r="K55" s="594">
        <f t="shared" si="14"/>
        <v>1100.25</v>
      </c>
      <c r="L55" s="594">
        <f t="shared" si="15"/>
        <v>156.9</v>
      </c>
      <c r="M55" s="600">
        <f t="shared" si="16"/>
        <v>941.35</v>
      </c>
      <c r="N55" s="601">
        <f t="shared" si="17"/>
        <v>2198.5</v>
      </c>
      <c r="O55" s="594">
        <f t="shared" si="18"/>
        <v>708.5</v>
      </c>
      <c r="P55" s="600">
        <f t="shared" si="19"/>
        <v>489</v>
      </c>
      <c r="Q55" s="631">
        <f t="shared" si="20"/>
        <v>1197.5</v>
      </c>
      <c r="R55" s="594">
        <f t="shared" si="21"/>
        <v>2687.5</v>
      </c>
      <c r="S55" s="599">
        <f t="shared" si="22"/>
        <v>3396</v>
      </c>
      <c r="U55" s="603">
        <f t="shared" si="23"/>
        <v>2169.7574999999997</v>
      </c>
      <c r="V55" s="599">
        <f t="shared" si="24"/>
        <v>2878.2574999999997</v>
      </c>
      <c r="X55" s="767">
        <f t="shared" si="25"/>
        <v>57.6</v>
      </c>
    </row>
    <row r="56" spans="1:24">
      <c r="A56" s="93">
        <f t="shared" si="29"/>
        <v>56</v>
      </c>
      <c r="C56" s="617">
        <f t="shared" si="27"/>
        <v>330</v>
      </c>
      <c r="D56" s="12">
        <f t="shared" si="13"/>
        <v>442.53728956635933</v>
      </c>
      <c r="E56" s="63" t="str">
        <f t="shared" si="26"/>
        <v>Stroper met Opteller - 330kW / 443PK</v>
      </c>
      <c r="F56" s="135"/>
      <c r="G56" s="620">
        <f>MROUND(C56*((C56-INDEX(Aannames!$E$126:$E$132,MATCH(C56,Aannames!$E$126:$E$132,1)))/(INDEX(Aannames!$E$126:$E$132,MATCH(C56,Aannames!$E$126:$E$132,1)+1)-INDEX(Aannames!$E$126:$E$132,MATCH(C56,Aannames!$E$126:$E$132,1)))*INDEX(Aannames!$J$126:$J$132,MATCH(C56,Aannames!$E$126:$E$132,1)+1)
+(INDEX(Aannames!$E$126:$E$132,MATCH(C56,Aannames!$E$126:$E$132,1)+1)-C56)/(INDEX(Aannames!$E$126:$E$132,MATCH(C56,Aannames!$E$126:$E$132,1)+1)-INDEX(Aannames!$E$126:$E$132,MATCH(C56,Aannames!$E$126:$E$132,1)))*INDEX(Aannames!$J$126:$J$132,MATCH(C56,Aannames!$E$126:$E$132,1)))+VLOOKUP(C56,Aannames!$E$136:$J$137,COLUMNS(Aannames!$E$136:$J$136),TRUE),5000)</f>
        <v>4955000</v>
      </c>
      <c r="H56" s="629">
        <v>4000</v>
      </c>
      <c r="I56" s="629">
        <v>300</v>
      </c>
      <c r="J56" s="630">
        <v>40</v>
      </c>
      <c r="K56" s="594">
        <f t="shared" si="14"/>
        <v>1114.9000000000001</v>
      </c>
      <c r="L56" s="594">
        <f t="shared" si="15"/>
        <v>158.95000000000002</v>
      </c>
      <c r="M56" s="600">
        <f t="shared" si="16"/>
        <v>953.85</v>
      </c>
      <c r="N56" s="601">
        <f t="shared" si="17"/>
        <v>2227.7000000000003</v>
      </c>
      <c r="O56" s="594">
        <f t="shared" si="18"/>
        <v>730.6</v>
      </c>
      <c r="P56" s="600">
        <f t="shared" si="19"/>
        <v>495.5</v>
      </c>
      <c r="Q56" s="631">
        <f t="shared" si="20"/>
        <v>1226.0999999999999</v>
      </c>
      <c r="R56" s="594">
        <f t="shared" si="21"/>
        <v>2723.2000000000003</v>
      </c>
      <c r="S56" s="599">
        <f t="shared" si="22"/>
        <v>3453.8</v>
      </c>
      <c r="U56" s="603">
        <f t="shared" si="23"/>
        <v>2198.5825000000004</v>
      </c>
      <c r="V56" s="599">
        <f t="shared" si="24"/>
        <v>2929.1825000000003</v>
      </c>
      <c r="X56" s="767">
        <f t="shared" si="25"/>
        <v>59.400000000000006</v>
      </c>
    </row>
    <row r="57" spans="1:24">
      <c r="A57" s="93">
        <f t="shared" si="29"/>
        <v>57</v>
      </c>
      <c r="C57" s="617">
        <f t="shared" si="27"/>
        <v>340</v>
      </c>
      <c r="D57" s="12">
        <f t="shared" si="13"/>
        <v>455.94751046230959</v>
      </c>
      <c r="E57" s="63" t="str">
        <f t="shared" si="26"/>
        <v>Stroper met Opteller - 340kW / 456PK</v>
      </c>
      <c r="F57" s="135"/>
      <c r="G57" s="620">
        <f>MROUND(C57*((C57-INDEX(Aannames!$E$126:$E$132,MATCH(C57,Aannames!$E$126:$E$132,1)))/(INDEX(Aannames!$E$126:$E$132,MATCH(C57,Aannames!$E$126:$E$132,1)+1)-INDEX(Aannames!$E$126:$E$132,MATCH(C57,Aannames!$E$126:$E$132,1)))*INDEX(Aannames!$J$126:$J$132,MATCH(C57,Aannames!$E$126:$E$132,1)+1)
+(INDEX(Aannames!$E$126:$E$132,MATCH(C57,Aannames!$E$126:$E$132,1)+1)-C57)/(INDEX(Aannames!$E$126:$E$132,MATCH(C57,Aannames!$E$126:$E$132,1)+1)-INDEX(Aannames!$E$126:$E$132,MATCH(C57,Aannames!$E$126:$E$132,1)))*INDEX(Aannames!$J$126:$J$132,MATCH(C57,Aannames!$E$126:$E$132,1)))+VLOOKUP(C57,Aannames!$E$136:$J$137,COLUMNS(Aannames!$E$136:$J$136),TRUE),5000)</f>
        <v>5020000</v>
      </c>
      <c r="H57" s="629">
        <v>4000</v>
      </c>
      <c r="I57" s="629">
        <v>300</v>
      </c>
      <c r="J57" s="630">
        <v>40</v>
      </c>
      <c r="K57" s="594">
        <f t="shared" si="14"/>
        <v>1129.5</v>
      </c>
      <c r="L57" s="594">
        <f t="shared" si="15"/>
        <v>161.05000000000001</v>
      </c>
      <c r="M57" s="600">
        <f t="shared" si="16"/>
        <v>966.35</v>
      </c>
      <c r="N57" s="601">
        <f t="shared" si="17"/>
        <v>2256.9</v>
      </c>
      <c r="O57" s="594">
        <f t="shared" si="18"/>
        <v>752.75</v>
      </c>
      <c r="P57" s="600">
        <f t="shared" si="19"/>
        <v>502</v>
      </c>
      <c r="Q57" s="631">
        <f t="shared" si="20"/>
        <v>1254.75</v>
      </c>
      <c r="R57" s="594">
        <f t="shared" si="21"/>
        <v>2758.9</v>
      </c>
      <c r="S57" s="599">
        <f t="shared" si="22"/>
        <v>3511.65</v>
      </c>
      <c r="U57" s="603">
        <f t="shared" si="23"/>
        <v>2227.4075000000003</v>
      </c>
      <c r="V57" s="599">
        <f t="shared" si="24"/>
        <v>2980.1575000000003</v>
      </c>
      <c r="X57" s="767">
        <f t="shared" si="25"/>
        <v>61.2</v>
      </c>
    </row>
    <row r="58" spans="1:24">
      <c r="A58" s="93">
        <f t="shared" si="29"/>
        <v>58</v>
      </c>
      <c r="C58" s="617">
        <f t="shared" si="27"/>
        <v>350</v>
      </c>
      <c r="D58" s="12">
        <f t="shared" si="13"/>
        <v>469.35773135825985</v>
      </c>
      <c r="E58" s="63" t="str">
        <f t="shared" si="26"/>
        <v>Stroper met Opteller - 350kW / 469PK</v>
      </c>
      <c r="F58" s="135"/>
      <c r="G58" s="620">
        <f>MROUND(C58*((C58-INDEX(Aannames!$E$126:$E$132,MATCH(C58,Aannames!$E$126:$E$132,1)))/(INDEX(Aannames!$E$126:$E$132,MATCH(C58,Aannames!$E$126:$E$132,1)+1)-INDEX(Aannames!$E$126:$E$132,MATCH(C58,Aannames!$E$126:$E$132,1)))*INDEX(Aannames!$J$126:$J$132,MATCH(C58,Aannames!$E$126:$E$132,1)+1)
+(INDEX(Aannames!$E$126:$E$132,MATCH(C58,Aannames!$E$126:$E$132,1)+1)-C58)/(INDEX(Aannames!$E$126:$E$132,MATCH(C58,Aannames!$E$126:$E$132,1)+1)-INDEX(Aannames!$E$126:$E$132,MATCH(C58,Aannames!$E$126:$E$132,1)))*INDEX(Aannames!$J$126:$J$132,MATCH(C58,Aannames!$E$126:$E$132,1)))+VLOOKUP(C58,Aannames!$E$136:$J$137,COLUMNS(Aannames!$E$136:$J$136),TRUE),5000)</f>
        <v>5075000</v>
      </c>
      <c r="H58" s="629">
        <v>4000</v>
      </c>
      <c r="I58" s="629">
        <v>300</v>
      </c>
      <c r="J58" s="630">
        <v>40</v>
      </c>
      <c r="K58" s="594">
        <f t="shared" si="14"/>
        <v>1141.9000000000001</v>
      </c>
      <c r="L58" s="594">
        <f t="shared" si="15"/>
        <v>162.80000000000001</v>
      </c>
      <c r="M58" s="600">
        <f t="shared" si="16"/>
        <v>976.95</v>
      </c>
      <c r="N58" s="601">
        <f t="shared" si="17"/>
        <v>2281.65</v>
      </c>
      <c r="O58" s="594">
        <f t="shared" si="18"/>
        <v>774.90000000000009</v>
      </c>
      <c r="P58" s="600">
        <f t="shared" si="19"/>
        <v>507.5</v>
      </c>
      <c r="Q58" s="631">
        <f t="shared" si="20"/>
        <v>1282.4000000000001</v>
      </c>
      <c r="R58" s="594">
        <f t="shared" si="21"/>
        <v>2789.15</v>
      </c>
      <c r="S58" s="599">
        <f t="shared" si="22"/>
        <v>3564.05</v>
      </c>
      <c r="U58" s="603">
        <f t="shared" si="23"/>
        <v>2251.8274999999999</v>
      </c>
      <c r="V58" s="599">
        <f t="shared" si="24"/>
        <v>3026.7275</v>
      </c>
      <c r="X58" s="767">
        <f t="shared" si="25"/>
        <v>63</v>
      </c>
    </row>
    <row r="59" spans="1:24">
      <c r="A59" s="93">
        <f t="shared" si="29"/>
        <v>59</v>
      </c>
      <c r="C59" s="617">
        <f t="shared" si="27"/>
        <v>360</v>
      </c>
      <c r="D59" s="12">
        <f t="shared" si="13"/>
        <v>482.76795225421017</v>
      </c>
      <c r="E59" s="63" t="str">
        <f t="shared" si="26"/>
        <v>Stroper met Opteller - 360kW / 483PK</v>
      </c>
      <c r="F59" s="135"/>
      <c r="G59" s="620">
        <f>MROUND(C59*((C59-INDEX(Aannames!$E$126:$E$132,MATCH(C59,Aannames!$E$126:$E$132,1)))/(INDEX(Aannames!$E$126:$E$132,MATCH(C59,Aannames!$E$126:$E$132,1)+1)-INDEX(Aannames!$E$126:$E$132,MATCH(C59,Aannames!$E$126:$E$132,1)))*INDEX(Aannames!$J$126:$J$132,MATCH(C59,Aannames!$E$126:$E$132,1)+1)
+(INDEX(Aannames!$E$126:$E$132,MATCH(C59,Aannames!$E$126:$E$132,1)+1)-C59)/(INDEX(Aannames!$E$126:$E$132,MATCH(C59,Aannames!$E$126:$E$132,1)+1)-INDEX(Aannames!$E$126:$E$132,MATCH(C59,Aannames!$E$126:$E$132,1)))*INDEX(Aannames!$J$126:$J$132,MATCH(C59,Aannames!$E$126:$E$132,1)))+VLOOKUP(C59,Aannames!$E$136:$J$137,COLUMNS(Aannames!$E$136:$J$136),TRUE),5000)</f>
        <v>5130000</v>
      </c>
      <c r="H59" s="629">
        <v>4000</v>
      </c>
      <c r="I59" s="629">
        <v>300</v>
      </c>
      <c r="J59" s="630">
        <v>40</v>
      </c>
      <c r="K59" s="594">
        <f t="shared" si="14"/>
        <v>1154.25</v>
      </c>
      <c r="L59" s="594">
        <f t="shared" si="15"/>
        <v>164.60000000000002</v>
      </c>
      <c r="M59" s="600">
        <f t="shared" si="16"/>
        <v>987.55000000000007</v>
      </c>
      <c r="N59" s="601">
        <f t="shared" si="17"/>
        <v>2306.4</v>
      </c>
      <c r="O59" s="594">
        <f t="shared" si="18"/>
        <v>797.05000000000007</v>
      </c>
      <c r="P59" s="600">
        <f t="shared" si="19"/>
        <v>513</v>
      </c>
      <c r="Q59" s="631">
        <f t="shared" si="20"/>
        <v>1310.0500000000002</v>
      </c>
      <c r="R59" s="594">
        <f t="shared" si="21"/>
        <v>2819.4</v>
      </c>
      <c r="S59" s="599">
        <f t="shared" si="22"/>
        <v>3616.4500000000003</v>
      </c>
      <c r="U59" s="603">
        <f t="shared" si="23"/>
        <v>2276.2474999999999</v>
      </c>
      <c r="V59" s="599">
        <f t="shared" si="24"/>
        <v>3073.2975000000001</v>
      </c>
      <c r="X59" s="767">
        <f t="shared" si="25"/>
        <v>64.8</v>
      </c>
    </row>
    <row r="60" spans="1:24">
      <c r="A60" s="93">
        <f t="shared" si="29"/>
        <v>60</v>
      </c>
      <c r="C60" s="617">
        <f t="shared" si="27"/>
        <v>370</v>
      </c>
      <c r="D60" s="12">
        <f t="shared" si="13"/>
        <v>496.17817315016043</v>
      </c>
      <c r="E60" s="63" t="str">
        <f t="shared" si="26"/>
        <v>Stroper met Opteller - 370kW / 496PK</v>
      </c>
      <c r="F60" s="135"/>
      <c r="G60" s="620">
        <f>MROUND(C60*((C60-INDEX(Aannames!$E$126:$E$132,MATCH(C60,Aannames!$E$126:$E$132,1)))/(INDEX(Aannames!$E$126:$E$132,MATCH(C60,Aannames!$E$126:$E$132,1)+1)-INDEX(Aannames!$E$126:$E$132,MATCH(C60,Aannames!$E$126:$E$132,1)))*INDEX(Aannames!$J$126:$J$132,MATCH(C60,Aannames!$E$126:$E$132,1)+1)
+(INDEX(Aannames!$E$126:$E$132,MATCH(C60,Aannames!$E$126:$E$132,1)+1)-C60)/(INDEX(Aannames!$E$126:$E$132,MATCH(C60,Aannames!$E$126:$E$132,1)+1)-INDEX(Aannames!$E$126:$E$132,MATCH(C60,Aannames!$E$126:$E$132,1)))*INDEX(Aannames!$J$126:$J$132,MATCH(C60,Aannames!$E$126:$E$132,1)))+VLOOKUP(C60,Aannames!$E$136:$J$137,COLUMNS(Aannames!$E$136:$J$136),TRUE),5000)</f>
        <v>5255000</v>
      </c>
      <c r="H60" s="629">
        <v>4000</v>
      </c>
      <c r="I60" s="629">
        <v>300</v>
      </c>
      <c r="J60" s="630">
        <v>40</v>
      </c>
      <c r="K60" s="594">
        <f t="shared" si="14"/>
        <v>1182.4000000000001</v>
      </c>
      <c r="L60" s="594">
        <f t="shared" si="15"/>
        <v>168.60000000000002</v>
      </c>
      <c r="M60" s="600">
        <f t="shared" si="16"/>
        <v>1011.6</v>
      </c>
      <c r="N60" s="601">
        <f t="shared" si="17"/>
        <v>2362.6</v>
      </c>
      <c r="O60" s="594">
        <f t="shared" si="18"/>
        <v>819.2</v>
      </c>
      <c r="P60" s="600">
        <f t="shared" si="19"/>
        <v>525.5</v>
      </c>
      <c r="Q60" s="631">
        <f t="shared" si="20"/>
        <v>1344.7</v>
      </c>
      <c r="R60" s="594">
        <f t="shared" si="21"/>
        <v>2888.1</v>
      </c>
      <c r="S60" s="599">
        <f t="shared" si="22"/>
        <v>3707.3</v>
      </c>
      <c r="U60" s="603">
        <f t="shared" si="23"/>
        <v>2331.7199999999998</v>
      </c>
      <c r="V60" s="599">
        <f t="shared" si="24"/>
        <v>3150.92</v>
      </c>
      <c r="X60" s="767">
        <f t="shared" si="25"/>
        <v>66.600000000000009</v>
      </c>
    </row>
    <row r="61" spans="1:24">
      <c r="A61" s="93">
        <f t="shared" si="29"/>
        <v>61</v>
      </c>
      <c r="C61" s="617">
        <f t="shared" si="27"/>
        <v>380</v>
      </c>
      <c r="D61" s="12">
        <f t="shared" si="13"/>
        <v>509.58839404611075</v>
      </c>
      <c r="E61" s="63" t="str">
        <f t="shared" si="26"/>
        <v>Stroper met Opteller - 380kW / 510PK</v>
      </c>
      <c r="F61" s="135"/>
      <c r="G61" s="620">
        <f>MROUND(C61*((C61-INDEX(Aannames!$E$126:$E$132,MATCH(C61,Aannames!$E$126:$E$132,1)))/(INDEX(Aannames!$E$126:$E$132,MATCH(C61,Aannames!$E$126:$E$132,1)+1)-INDEX(Aannames!$E$126:$E$132,MATCH(C61,Aannames!$E$126:$E$132,1)))*INDEX(Aannames!$J$126:$J$132,MATCH(C61,Aannames!$E$126:$E$132,1)+1)
+(INDEX(Aannames!$E$126:$E$132,MATCH(C61,Aannames!$E$126:$E$132,1)+1)-C61)/(INDEX(Aannames!$E$126:$E$132,MATCH(C61,Aannames!$E$126:$E$132,1)+1)-INDEX(Aannames!$E$126:$E$132,MATCH(C61,Aannames!$E$126:$E$132,1)))*INDEX(Aannames!$J$126:$J$132,MATCH(C61,Aannames!$E$126:$E$132,1)))+VLOOKUP(C61,Aannames!$E$136:$J$137,COLUMNS(Aannames!$E$136:$J$136),TRUE),5000)</f>
        <v>5385000</v>
      </c>
      <c r="H61" s="629">
        <v>4000</v>
      </c>
      <c r="I61" s="629">
        <v>300</v>
      </c>
      <c r="J61" s="630">
        <v>40</v>
      </c>
      <c r="K61" s="594">
        <f t="shared" si="14"/>
        <v>1211.6500000000001</v>
      </c>
      <c r="L61" s="594">
        <f t="shared" si="15"/>
        <v>172.75</v>
      </c>
      <c r="M61" s="600">
        <f t="shared" si="16"/>
        <v>1036.6000000000001</v>
      </c>
      <c r="N61" s="601">
        <f t="shared" si="17"/>
        <v>2421</v>
      </c>
      <c r="O61" s="594">
        <f t="shared" si="18"/>
        <v>841.30000000000007</v>
      </c>
      <c r="P61" s="600">
        <f t="shared" si="19"/>
        <v>538.5</v>
      </c>
      <c r="Q61" s="631">
        <f t="shared" si="20"/>
        <v>1379.8000000000002</v>
      </c>
      <c r="R61" s="594">
        <f t="shared" si="21"/>
        <v>2959.5</v>
      </c>
      <c r="S61" s="599">
        <f t="shared" si="22"/>
        <v>3800.8</v>
      </c>
      <c r="U61" s="603">
        <f t="shared" si="23"/>
        <v>2389.37</v>
      </c>
      <c r="V61" s="599">
        <f t="shared" si="24"/>
        <v>3230.67</v>
      </c>
      <c r="X61" s="767">
        <f t="shared" si="25"/>
        <v>68.400000000000006</v>
      </c>
    </row>
    <row r="62" spans="1:24">
      <c r="A62" s="93">
        <f t="shared" si="29"/>
        <v>62</v>
      </c>
      <c r="C62" s="617">
        <f t="shared" si="27"/>
        <v>390</v>
      </c>
      <c r="D62" s="12">
        <f t="shared" si="13"/>
        <v>522.99861494206095</v>
      </c>
      <c r="E62" s="63" t="str">
        <f t="shared" si="26"/>
        <v>Stroper met Opteller - 390kW / 523PK</v>
      </c>
      <c r="F62" s="135"/>
      <c r="G62" s="620">
        <f>MROUND(C62*((C62-INDEX(Aannames!$E$126:$E$132,MATCH(C62,Aannames!$E$126:$E$132,1)))/(INDEX(Aannames!$E$126:$E$132,MATCH(C62,Aannames!$E$126:$E$132,1)+1)-INDEX(Aannames!$E$126:$E$132,MATCH(C62,Aannames!$E$126:$E$132,1)))*INDEX(Aannames!$J$126:$J$132,MATCH(C62,Aannames!$E$126:$E$132,1)+1)
+(INDEX(Aannames!$E$126:$E$132,MATCH(C62,Aannames!$E$126:$E$132,1)+1)-C62)/(INDEX(Aannames!$E$126:$E$132,MATCH(C62,Aannames!$E$126:$E$132,1)+1)-INDEX(Aannames!$E$126:$E$132,MATCH(C62,Aannames!$E$126:$E$132,1)))*INDEX(Aannames!$J$126:$J$132,MATCH(C62,Aannames!$E$126:$E$132,1)))+VLOOKUP(C62,Aannames!$E$136:$J$137,COLUMNS(Aannames!$E$136:$J$136),TRUE),5000)</f>
        <v>5510000</v>
      </c>
      <c r="H62" s="629">
        <v>4000</v>
      </c>
      <c r="I62" s="629">
        <v>300</v>
      </c>
      <c r="J62" s="630">
        <v>40</v>
      </c>
      <c r="K62" s="594">
        <f t="shared" si="14"/>
        <v>1239.75</v>
      </c>
      <c r="L62" s="594">
        <f t="shared" si="15"/>
        <v>176.8</v>
      </c>
      <c r="M62" s="600">
        <f t="shared" si="16"/>
        <v>1060.7</v>
      </c>
      <c r="N62" s="601">
        <f t="shared" si="17"/>
        <v>2477.25</v>
      </c>
      <c r="O62" s="594">
        <f t="shared" si="18"/>
        <v>863.45</v>
      </c>
      <c r="P62" s="600">
        <f t="shared" si="19"/>
        <v>551</v>
      </c>
      <c r="Q62" s="631">
        <f t="shared" si="20"/>
        <v>1414.45</v>
      </c>
      <c r="R62" s="594">
        <f t="shared" si="21"/>
        <v>3028.25</v>
      </c>
      <c r="S62" s="599">
        <f t="shared" si="22"/>
        <v>3891.7</v>
      </c>
      <c r="U62" s="603">
        <f t="shared" si="23"/>
        <v>2444.8649999999998</v>
      </c>
      <c r="V62" s="599">
        <f t="shared" si="24"/>
        <v>3308.3149999999996</v>
      </c>
      <c r="X62" s="767">
        <f t="shared" si="25"/>
        <v>70.2</v>
      </c>
    </row>
    <row r="63" spans="1:24">
      <c r="A63" s="93">
        <f t="shared" si="29"/>
        <v>63</v>
      </c>
      <c r="C63" s="617">
        <f t="shared" si="27"/>
        <v>400</v>
      </c>
      <c r="D63" s="12">
        <f t="shared" ref="D63" si="30">C63*PKperKW</f>
        <v>536.40883583801133</v>
      </c>
      <c r="E63" s="63" t="str">
        <f t="shared" ref="E63" si="31">"Stroper met Opteller - "&amp;C63&amp;"kW / "&amp;ROUND(D63,0)&amp;"PK"</f>
        <v>Stroper met Opteller - 400kW / 536PK</v>
      </c>
      <c r="F63" s="135"/>
      <c r="G63" s="620">
        <f>MROUND(C63*((C63-INDEX(Aannames!$E$126:$E$132,MATCH(C63,Aannames!$E$126:$E$132,1)))/(INDEX(Aannames!$E$126:$E$132,MATCH(C63,Aannames!$E$126:$E$132,1)+1)-INDEX(Aannames!$E$126:$E$132,MATCH(C63,Aannames!$E$126:$E$132,1)))*INDEX(Aannames!$J$126:$J$132,MATCH(C63,Aannames!$E$126:$E$132,1)+1)
+(INDEX(Aannames!$E$126:$E$132,MATCH(C63,Aannames!$E$126:$E$132,1)+1)-C63)/(INDEX(Aannames!$E$126:$E$132,MATCH(C63,Aannames!$E$126:$E$132,1)+1)-INDEX(Aannames!$E$126:$E$132,MATCH(C63,Aannames!$E$126:$E$132,1)))*INDEX(Aannames!$J$126:$J$132,MATCH(C63,Aannames!$E$126:$E$132,1)))+VLOOKUP(C63,Aannames!$E$136:$J$137,COLUMNS(Aannames!$E$136:$J$136),TRUE),5000)</f>
        <v>5635000</v>
      </c>
      <c r="H63" s="629">
        <v>4000</v>
      </c>
      <c r="I63" s="629">
        <v>300</v>
      </c>
      <c r="J63" s="630">
        <v>40</v>
      </c>
      <c r="K63" s="594">
        <f t="shared" si="14"/>
        <v>1267.9000000000001</v>
      </c>
      <c r="L63" s="594">
        <f t="shared" si="15"/>
        <v>180.8</v>
      </c>
      <c r="M63" s="600">
        <f t="shared" si="16"/>
        <v>1084.75</v>
      </c>
      <c r="N63" s="601">
        <f t="shared" si="17"/>
        <v>2533.4499999999998</v>
      </c>
      <c r="O63" s="594">
        <f t="shared" si="18"/>
        <v>885.6</v>
      </c>
      <c r="P63" s="600">
        <f t="shared" si="19"/>
        <v>563.5</v>
      </c>
      <c r="Q63" s="631">
        <f t="shared" si="20"/>
        <v>1449.1</v>
      </c>
      <c r="R63" s="594">
        <f t="shared" si="21"/>
        <v>3096.95</v>
      </c>
      <c r="S63" s="599">
        <f t="shared" si="22"/>
        <v>3982.5499999999997</v>
      </c>
      <c r="U63" s="603">
        <f t="shared" si="23"/>
        <v>2500.3374999999996</v>
      </c>
      <c r="V63" s="599">
        <f t="shared" si="24"/>
        <v>3385.9374999999995</v>
      </c>
      <c r="X63" s="767">
        <f t="shared" si="25"/>
        <v>72</v>
      </c>
    </row>
    <row r="64" spans="1:24">
      <c r="A64" s="130" t="str">
        <f t="shared" ref="A64:A195" si="32">IF(ISNUMBER(G64),ROW(),"")</f>
        <v/>
      </c>
      <c r="C64" s="619"/>
      <c r="D64" s="35"/>
      <c r="E64" s="64"/>
      <c r="F64" s="138"/>
      <c r="G64" s="563"/>
      <c r="H64" s="636"/>
      <c r="I64" s="636"/>
      <c r="J64" s="636"/>
      <c r="K64" s="605"/>
      <c r="L64" s="605"/>
      <c r="M64" s="605"/>
      <c r="N64" s="607"/>
      <c r="O64" s="605"/>
      <c r="P64" s="605"/>
      <c r="Q64" s="605"/>
      <c r="R64" s="605"/>
      <c r="S64" s="628"/>
      <c r="U64" s="776"/>
      <c r="V64" s="628"/>
      <c r="X64" s="450"/>
    </row>
    <row r="65" spans="1:24">
      <c r="A65" s="130" t="str">
        <f t="shared" si="32"/>
        <v/>
      </c>
      <c r="B65" s="16"/>
      <c r="C65" s="2"/>
      <c r="D65" s="2"/>
      <c r="E65" s="62"/>
      <c r="F65" s="135"/>
      <c r="G65" s="2"/>
      <c r="H65" s="585"/>
      <c r="I65" s="585"/>
      <c r="J65" s="585"/>
      <c r="K65" s="585"/>
      <c r="L65" s="585"/>
      <c r="M65" s="585"/>
      <c r="N65" s="585"/>
      <c r="O65" s="585"/>
      <c r="P65" s="585"/>
      <c r="Q65" s="585"/>
      <c r="R65" s="585"/>
      <c r="S65" s="585"/>
      <c r="T65" s="16"/>
      <c r="U65" s="585"/>
      <c r="V65" s="585"/>
      <c r="W65" s="16"/>
      <c r="X65" s="5"/>
    </row>
    <row r="66" spans="1:24" ht="13.5" thickBot="1">
      <c r="A66" s="310"/>
      <c r="B66" s="266">
        <f>MAX($B$8:B65)+0.01</f>
        <v>3.0299999999999994</v>
      </c>
      <c r="C66" s="97" t="s">
        <v>998</v>
      </c>
      <c r="D66" s="95"/>
      <c r="E66" s="95"/>
      <c r="F66" s="136"/>
      <c r="G66" s="95"/>
      <c r="H66" s="633"/>
      <c r="I66" s="633"/>
      <c r="J66" s="633"/>
      <c r="K66" s="633"/>
      <c r="L66" s="633"/>
      <c r="M66" s="633"/>
      <c r="N66" s="633"/>
      <c r="O66" s="633"/>
      <c r="P66" s="633"/>
      <c r="Q66" s="633"/>
      <c r="R66" s="633"/>
      <c r="S66" s="634"/>
      <c r="U66" s="774"/>
      <c r="V66" s="634"/>
      <c r="X66" s="451"/>
    </row>
    <row r="67" spans="1:24">
      <c r="A67" s="310" t="str">
        <f>IF(ISNUMBER(D67),ROW(),"")</f>
        <v/>
      </c>
      <c r="B67" s="16"/>
      <c r="C67" s="668"/>
      <c r="D67" s="2"/>
      <c r="E67" s="62"/>
      <c r="F67" s="135"/>
      <c r="G67" s="557"/>
      <c r="H67" s="585"/>
      <c r="I67" s="585"/>
      <c r="J67" s="585"/>
      <c r="K67" s="585"/>
      <c r="L67" s="585"/>
      <c r="M67" s="585"/>
      <c r="N67" s="585"/>
      <c r="O67" s="585"/>
      <c r="P67" s="585"/>
      <c r="Q67" s="585"/>
      <c r="R67" s="585"/>
      <c r="S67" s="635"/>
      <c r="U67" s="591"/>
      <c r="V67" s="635"/>
      <c r="X67" s="448"/>
    </row>
    <row r="68" spans="1:24">
      <c r="A68" s="310">
        <f t="shared" ref="A68:A105" si="33">IF(ISNUMBER(G68),ROW(),"")</f>
        <v>68</v>
      </c>
      <c r="C68" s="617">
        <v>50</v>
      </c>
      <c r="D68" s="12">
        <f t="shared" ref="D68:D103" si="34">C68*PKperKW</f>
        <v>67.051104479751416</v>
      </c>
      <c r="E68" s="63" t="str">
        <f>"Stroper met Snytafel - "&amp;C68&amp;"kW / "&amp;ROUND(D68,0)&amp;"PK"</f>
        <v>Stroper met Snytafel - 50kW / 67PK</v>
      </c>
      <c r="F68" s="135"/>
      <c r="G68" s="620">
        <f>MROUND(C68*((C68-INDEX(Aannames!$E$126:$E$132,MATCH(C68,Aannames!$E$126:$E$132,1)))/(INDEX(Aannames!$E$126:$E$132,MATCH(C68,Aannames!$E$126:$E$132,1)+1)-INDEX(Aannames!$E$126:$E$132,MATCH(C68,Aannames!$E$126:$E$132,1)))*INDEX(Aannames!$J$126:$J$132,MATCH(C68,Aannames!$E$126:$E$132,1)+1)
+(INDEX(Aannames!$E$126:$E$132,MATCH(C68,Aannames!$E$126:$E$132,1)+1)-C68)/(INDEX(Aannames!$E$126:$E$132,MATCH(C68,Aannames!$E$126:$E$132,1)+1)-INDEX(Aannames!$E$126:$E$132,MATCH(C68,Aannames!$E$126:$E$132,1)))*INDEX(Aannames!$J$126:$J$132,MATCH(C68,Aannames!$E$126:$E$132,1)))+Aannames!$J$139,5000)</f>
        <v>1515000</v>
      </c>
      <c r="H68" s="629">
        <v>4000</v>
      </c>
      <c r="I68" s="629">
        <v>300</v>
      </c>
      <c r="J68" s="630">
        <v>40</v>
      </c>
      <c r="K68" s="594">
        <f t="shared" ref="K68:K103" si="35">MROUND($G68*(1-$F$256/100)/H68,0.05)</f>
        <v>340.90000000000003</v>
      </c>
      <c r="L68" s="594">
        <f t="shared" ref="L68:L103" si="36">MROUND($G68*(1+$F$256/100)/2*$G$263/100/I68,0.05)</f>
        <v>48.6</v>
      </c>
      <c r="M68" s="600">
        <f t="shared" ref="M68:M103" si="37">MROUND($G68*(1+$F$256/100)/2*$F$257/100/I68,0.05)</f>
        <v>291.65000000000003</v>
      </c>
      <c r="N68" s="601">
        <f t="shared" ref="N68:N103" si="38">SUM(K68:M68)</f>
        <v>681.15000000000009</v>
      </c>
      <c r="O68" s="594">
        <f t="shared" ref="O68:O103" si="39">MROUND(IF(ISNUMBER(C68),$C68*$K$268*$F$258,0),0.05)</f>
        <v>110.7</v>
      </c>
      <c r="P68" s="600">
        <f t="shared" ref="P68:P103" si="40">MROUND($G68*J68/100/H68,0.05)</f>
        <v>151.5</v>
      </c>
      <c r="Q68" s="631">
        <f t="shared" ref="Q68:Q103" si="41">SUM(O68:P68)</f>
        <v>262.2</v>
      </c>
      <c r="R68" s="594">
        <f t="shared" ref="R68:R103" si="42">N68+P68</f>
        <v>832.65000000000009</v>
      </c>
      <c r="S68" s="599">
        <f t="shared" ref="S68:S103" si="43">N68+Q68</f>
        <v>943.35000000000014</v>
      </c>
      <c r="U68" s="603">
        <f t="shared" ref="U68:U103" si="44">R68-M68*(1-U$12)</f>
        <v>672.24250000000006</v>
      </c>
      <c r="V68" s="599">
        <f t="shared" ref="V68:V103" si="45">U68+O68</f>
        <v>782.94250000000011</v>
      </c>
      <c r="X68" s="767">
        <f t="shared" ref="X68:X103" si="46">MROUND(IF(ISNUMBER(C68),$C68*$K$268,0),0.05)</f>
        <v>9</v>
      </c>
    </row>
    <row r="69" spans="1:24">
      <c r="A69" s="310">
        <f t="shared" si="33"/>
        <v>69</v>
      </c>
      <c r="C69" s="617">
        <f>C68+10</f>
        <v>60</v>
      </c>
      <c r="D69" s="12">
        <f t="shared" si="34"/>
        <v>80.461325375701691</v>
      </c>
      <c r="E69" s="63" t="str">
        <f t="shared" ref="E69:E103" si="47">"Stroper met Snytafel - "&amp;C69&amp;"kW / "&amp;ROUND(D69,0)&amp;"PK"</f>
        <v>Stroper met Snytafel - 60kW / 80PK</v>
      </c>
      <c r="F69" s="135"/>
      <c r="G69" s="620">
        <f>MROUND(C69*((C69-INDEX(Aannames!$E$126:$E$132,MATCH(C69,Aannames!$E$126:$E$132,1)))/(INDEX(Aannames!$E$126:$E$132,MATCH(C69,Aannames!$E$126:$E$132,1)+1)-INDEX(Aannames!$E$126:$E$132,MATCH(C69,Aannames!$E$126:$E$132,1)))*INDEX(Aannames!$J$126:$J$132,MATCH(C69,Aannames!$E$126:$E$132,1)+1)
+(INDEX(Aannames!$E$126:$E$132,MATCH(C69,Aannames!$E$126:$E$132,1)+1)-C69)/(INDEX(Aannames!$E$126:$E$132,MATCH(C69,Aannames!$E$126:$E$132,1)+1)-INDEX(Aannames!$E$126:$E$132,MATCH(C69,Aannames!$E$126:$E$132,1)))*INDEX(Aannames!$J$126:$J$132,MATCH(C69,Aannames!$E$126:$E$132,1)))+Aannames!$J$139,5000)</f>
        <v>1660000</v>
      </c>
      <c r="H69" s="629">
        <v>4000</v>
      </c>
      <c r="I69" s="629">
        <v>300</v>
      </c>
      <c r="J69" s="630">
        <v>40</v>
      </c>
      <c r="K69" s="594">
        <f t="shared" si="35"/>
        <v>373.5</v>
      </c>
      <c r="L69" s="594">
        <f t="shared" si="36"/>
        <v>53.25</v>
      </c>
      <c r="M69" s="600">
        <f t="shared" si="37"/>
        <v>319.55</v>
      </c>
      <c r="N69" s="601">
        <f t="shared" si="38"/>
        <v>746.3</v>
      </c>
      <c r="O69" s="594">
        <f t="shared" si="39"/>
        <v>132.85</v>
      </c>
      <c r="P69" s="600">
        <f t="shared" si="40"/>
        <v>166</v>
      </c>
      <c r="Q69" s="631">
        <f t="shared" si="41"/>
        <v>298.85000000000002</v>
      </c>
      <c r="R69" s="594">
        <f t="shared" si="42"/>
        <v>912.3</v>
      </c>
      <c r="S69" s="599">
        <f t="shared" si="43"/>
        <v>1045.1500000000001</v>
      </c>
      <c r="U69" s="603">
        <f t="shared" si="44"/>
        <v>736.5474999999999</v>
      </c>
      <c r="V69" s="599">
        <f t="shared" si="45"/>
        <v>869.39749999999992</v>
      </c>
      <c r="X69" s="767">
        <f t="shared" si="46"/>
        <v>10.8</v>
      </c>
    </row>
    <row r="70" spans="1:24">
      <c r="A70" s="310">
        <f t="shared" si="33"/>
        <v>70</v>
      </c>
      <c r="C70" s="617">
        <f t="shared" ref="C70:C103" si="48">C69+10</f>
        <v>70</v>
      </c>
      <c r="D70" s="12">
        <f t="shared" si="34"/>
        <v>93.87154627165198</v>
      </c>
      <c r="E70" s="63" t="str">
        <f t="shared" si="47"/>
        <v>Stroper met Snytafel - 70kW / 94PK</v>
      </c>
      <c r="F70" s="135"/>
      <c r="G70" s="620">
        <f>MROUND(C70*((C70-INDEX(Aannames!$E$126:$E$132,MATCH(C70,Aannames!$E$126:$E$132,1)))/(INDEX(Aannames!$E$126:$E$132,MATCH(C70,Aannames!$E$126:$E$132,1)+1)-INDEX(Aannames!$E$126:$E$132,MATCH(C70,Aannames!$E$126:$E$132,1)))*INDEX(Aannames!$J$126:$J$132,MATCH(C70,Aannames!$E$126:$E$132,1)+1)
+(INDEX(Aannames!$E$126:$E$132,MATCH(C70,Aannames!$E$126:$E$132,1)+1)-C70)/(INDEX(Aannames!$E$126:$E$132,MATCH(C70,Aannames!$E$126:$E$132,1)+1)-INDEX(Aannames!$E$126:$E$132,MATCH(C70,Aannames!$E$126:$E$132,1)))*INDEX(Aannames!$J$126:$J$132,MATCH(C70,Aannames!$E$126:$E$132,1)))+Aannames!$J$139,5000)</f>
        <v>1805000</v>
      </c>
      <c r="H70" s="629">
        <v>4000</v>
      </c>
      <c r="I70" s="629">
        <v>300</v>
      </c>
      <c r="J70" s="630">
        <v>40</v>
      </c>
      <c r="K70" s="594">
        <f t="shared" si="35"/>
        <v>406.15000000000003</v>
      </c>
      <c r="L70" s="594">
        <f t="shared" si="36"/>
        <v>57.900000000000006</v>
      </c>
      <c r="M70" s="600">
        <f t="shared" si="37"/>
        <v>347.45000000000005</v>
      </c>
      <c r="N70" s="601">
        <f t="shared" si="38"/>
        <v>811.50000000000011</v>
      </c>
      <c r="O70" s="594">
        <f t="shared" si="39"/>
        <v>155</v>
      </c>
      <c r="P70" s="600">
        <f t="shared" si="40"/>
        <v>180.5</v>
      </c>
      <c r="Q70" s="631">
        <f t="shared" si="41"/>
        <v>335.5</v>
      </c>
      <c r="R70" s="594">
        <f t="shared" si="42"/>
        <v>992.00000000000011</v>
      </c>
      <c r="S70" s="599">
        <f t="shared" si="43"/>
        <v>1147</v>
      </c>
      <c r="U70" s="603">
        <f t="shared" si="44"/>
        <v>800.90250000000003</v>
      </c>
      <c r="V70" s="599">
        <f t="shared" si="45"/>
        <v>955.90250000000003</v>
      </c>
      <c r="X70" s="767">
        <f t="shared" si="46"/>
        <v>12.600000000000001</v>
      </c>
    </row>
    <row r="71" spans="1:24">
      <c r="A71" s="310">
        <f t="shared" si="33"/>
        <v>71</v>
      </c>
      <c r="C71" s="617">
        <f t="shared" si="48"/>
        <v>80</v>
      </c>
      <c r="D71" s="12">
        <f t="shared" si="34"/>
        <v>107.28176716760225</v>
      </c>
      <c r="E71" s="63" t="str">
        <f t="shared" si="47"/>
        <v>Stroper met Snytafel - 80kW / 107PK</v>
      </c>
      <c r="F71" s="135"/>
      <c r="G71" s="620">
        <f>MROUND(C71*((C71-INDEX(Aannames!$E$126:$E$132,MATCH(C71,Aannames!$E$126:$E$132,1)))/(INDEX(Aannames!$E$126:$E$132,MATCH(C71,Aannames!$E$126:$E$132,1)+1)-INDEX(Aannames!$E$126:$E$132,MATCH(C71,Aannames!$E$126:$E$132,1)))*INDEX(Aannames!$J$126:$J$132,MATCH(C71,Aannames!$E$126:$E$132,1)+1)
+(INDEX(Aannames!$E$126:$E$132,MATCH(C71,Aannames!$E$126:$E$132,1)+1)-C71)/(INDEX(Aannames!$E$126:$E$132,MATCH(C71,Aannames!$E$126:$E$132,1)+1)-INDEX(Aannames!$E$126:$E$132,MATCH(C71,Aannames!$E$126:$E$132,1)))*INDEX(Aannames!$J$126:$J$132,MATCH(C71,Aannames!$E$126:$E$132,1)))+Aannames!$J$139,5000)</f>
        <v>1955000</v>
      </c>
      <c r="H71" s="629">
        <v>4000</v>
      </c>
      <c r="I71" s="629">
        <v>300</v>
      </c>
      <c r="J71" s="630">
        <v>40</v>
      </c>
      <c r="K71" s="594">
        <f t="shared" si="35"/>
        <v>439.90000000000003</v>
      </c>
      <c r="L71" s="594">
        <f t="shared" si="36"/>
        <v>62.7</v>
      </c>
      <c r="M71" s="600">
        <f t="shared" si="37"/>
        <v>376.35</v>
      </c>
      <c r="N71" s="601">
        <f t="shared" si="38"/>
        <v>878.95</v>
      </c>
      <c r="O71" s="594">
        <f t="shared" si="39"/>
        <v>177.10000000000002</v>
      </c>
      <c r="P71" s="600">
        <f t="shared" si="40"/>
        <v>195.5</v>
      </c>
      <c r="Q71" s="631">
        <f t="shared" si="41"/>
        <v>372.6</v>
      </c>
      <c r="R71" s="594">
        <f t="shared" si="42"/>
        <v>1074.45</v>
      </c>
      <c r="S71" s="599">
        <f t="shared" si="43"/>
        <v>1251.5500000000002</v>
      </c>
      <c r="U71" s="603">
        <f t="shared" si="44"/>
        <v>867.45749999999998</v>
      </c>
      <c r="V71" s="599">
        <f t="shared" si="45"/>
        <v>1044.5574999999999</v>
      </c>
      <c r="X71" s="767">
        <f t="shared" si="46"/>
        <v>14.4</v>
      </c>
    </row>
    <row r="72" spans="1:24">
      <c r="A72" s="310">
        <f t="shared" si="33"/>
        <v>72</v>
      </c>
      <c r="C72" s="617">
        <f t="shared" si="48"/>
        <v>90</v>
      </c>
      <c r="D72" s="12">
        <f t="shared" si="34"/>
        <v>120.69198806355254</v>
      </c>
      <c r="E72" s="63" t="str">
        <f t="shared" si="47"/>
        <v>Stroper met Snytafel - 90kW / 121PK</v>
      </c>
      <c r="F72" s="135"/>
      <c r="G72" s="620">
        <f>MROUND(C72*((C72-INDEX(Aannames!$E$126:$E$132,MATCH(C72,Aannames!$E$126:$E$132,1)))/(INDEX(Aannames!$E$126:$E$132,MATCH(C72,Aannames!$E$126:$E$132,1)+1)-INDEX(Aannames!$E$126:$E$132,MATCH(C72,Aannames!$E$126:$E$132,1)))*INDEX(Aannames!$J$126:$J$132,MATCH(C72,Aannames!$E$126:$E$132,1)+1)
+(INDEX(Aannames!$E$126:$E$132,MATCH(C72,Aannames!$E$126:$E$132,1)+1)-C72)/(INDEX(Aannames!$E$126:$E$132,MATCH(C72,Aannames!$E$126:$E$132,1)+1)-INDEX(Aannames!$E$126:$E$132,MATCH(C72,Aannames!$E$126:$E$132,1)))*INDEX(Aannames!$J$126:$J$132,MATCH(C72,Aannames!$E$126:$E$132,1)))+Aannames!$J$139,5000)</f>
        <v>2100000</v>
      </c>
      <c r="H72" s="629">
        <v>4000</v>
      </c>
      <c r="I72" s="629">
        <v>300</v>
      </c>
      <c r="J72" s="630">
        <v>40</v>
      </c>
      <c r="K72" s="594">
        <f t="shared" si="35"/>
        <v>472.5</v>
      </c>
      <c r="L72" s="594">
        <f t="shared" si="36"/>
        <v>67.400000000000006</v>
      </c>
      <c r="M72" s="600">
        <f t="shared" si="37"/>
        <v>404.25</v>
      </c>
      <c r="N72" s="601">
        <f t="shared" si="38"/>
        <v>944.15</v>
      </c>
      <c r="O72" s="594">
        <f t="shared" si="39"/>
        <v>199.25</v>
      </c>
      <c r="P72" s="600">
        <f t="shared" si="40"/>
        <v>210</v>
      </c>
      <c r="Q72" s="631">
        <f t="shared" si="41"/>
        <v>409.25</v>
      </c>
      <c r="R72" s="594">
        <f t="shared" si="42"/>
        <v>1154.1500000000001</v>
      </c>
      <c r="S72" s="599">
        <f t="shared" si="43"/>
        <v>1353.4</v>
      </c>
      <c r="U72" s="603">
        <f t="shared" si="44"/>
        <v>931.81250000000011</v>
      </c>
      <c r="V72" s="599">
        <f t="shared" si="45"/>
        <v>1131.0625</v>
      </c>
      <c r="X72" s="767">
        <f t="shared" si="46"/>
        <v>16.2</v>
      </c>
    </row>
    <row r="73" spans="1:24">
      <c r="A73" s="310">
        <f t="shared" si="33"/>
        <v>73</v>
      </c>
      <c r="C73" s="617">
        <f t="shared" si="48"/>
        <v>100</v>
      </c>
      <c r="D73" s="12">
        <f t="shared" si="34"/>
        <v>134.10220895950283</v>
      </c>
      <c r="E73" s="63" t="str">
        <f t="shared" si="47"/>
        <v>Stroper met Snytafel - 100kW / 134PK</v>
      </c>
      <c r="F73" s="135"/>
      <c r="G73" s="620">
        <f>MROUND(C73*((C73-INDEX(Aannames!$E$126:$E$132,MATCH(C73,Aannames!$E$126:$E$132,1)))/(INDEX(Aannames!$E$126:$E$132,MATCH(C73,Aannames!$E$126:$E$132,1)+1)-INDEX(Aannames!$E$126:$E$132,MATCH(C73,Aannames!$E$126:$E$132,1)))*INDEX(Aannames!$J$126:$J$132,MATCH(C73,Aannames!$E$126:$E$132,1)+1)
+(INDEX(Aannames!$E$126:$E$132,MATCH(C73,Aannames!$E$126:$E$132,1)+1)-C73)/(INDEX(Aannames!$E$126:$E$132,MATCH(C73,Aannames!$E$126:$E$132,1)+1)-INDEX(Aannames!$E$126:$E$132,MATCH(C73,Aannames!$E$126:$E$132,1)))*INDEX(Aannames!$J$126:$J$132,MATCH(C73,Aannames!$E$126:$E$132,1)))+Aannames!$J$139,5000)</f>
        <v>2250000</v>
      </c>
      <c r="H73" s="629">
        <v>4000</v>
      </c>
      <c r="I73" s="629">
        <v>300</v>
      </c>
      <c r="J73" s="630">
        <v>40</v>
      </c>
      <c r="K73" s="594">
        <f t="shared" si="35"/>
        <v>506.25</v>
      </c>
      <c r="L73" s="594">
        <f t="shared" si="36"/>
        <v>72.2</v>
      </c>
      <c r="M73" s="600">
        <f t="shared" si="37"/>
        <v>433.15000000000003</v>
      </c>
      <c r="N73" s="601">
        <f t="shared" si="38"/>
        <v>1011.6000000000001</v>
      </c>
      <c r="O73" s="594">
        <f t="shared" si="39"/>
        <v>221.4</v>
      </c>
      <c r="P73" s="600">
        <f t="shared" si="40"/>
        <v>225</v>
      </c>
      <c r="Q73" s="631">
        <f t="shared" si="41"/>
        <v>446.4</v>
      </c>
      <c r="R73" s="594">
        <f t="shared" si="42"/>
        <v>1236.6000000000001</v>
      </c>
      <c r="S73" s="599">
        <f t="shared" si="43"/>
        <v>1458</v>
      </c>
      <c r="T73" s="16"/>
      <c r="U73" s="603">
        <f t="shared" si="44"/>
        <v>998.36750000000006</v>
      </c>
      <c r="V73" s="599">
        <f t="shared" si="45"/>
        <v>1219.7675000000002</v>
      </c>
      <c r="W73" s="16"/>
      <c r="X73" s="767">
        <f t="shared" si="46"/>
        <v>18</v>
      </c>
    </row>
    <row r="74" spans="1:24">
      <c r="A74" s="310">
        <f t="shared" si="33"/>
        <v>74</v>
      </c>
      <c r="C74" s="617">
        <f t="shared" si="48"/>
        <v>110</v>
      </c>
      <c r="D74" s="12">
        <f t="shared" si="34"/>
        <v>147.51242985545309</v>
      </c>
      <c r="E74" s="63" t="str">
        <f t="shared" si="47"/>
        <v>Stroper met Snytafel - 110kW / 148PK</v>
      </c>
      <c r="F74" s="135"/>
      <c r="G74" s="620">
        <f>MROUND(C74*((C74-INDEX(Aannames!$E$126:$E$132,MATCH(C74,Aannames!$E$126:$E$132,1)))/(INDEX(Aannames!$E$126:$E$132,MATCH(C74,Aannames!$E$126:$E$132,1)+1)-INDEX(Aannames!$E$126:$E$132,MATCH(C74,Aannames!$E$126:$E$132,1)))*INDEX(Aannames!$J$126:$J$132,MATCH(C74,Aannames!$E$126:$E$132,1)+1)
+(INDEX(Aannames!$E$126:$E$132,MATCH(C74,Aannames!$E$126:$E$132,1)+1)-C74)/(INDEX(Aannames!$E$126:$E$132,MATCH(C74,Aannames!$E$126:$E$132,1)+1)-INDEX(Aannames!$E$126:$E$132,MATCH(C74,Aannames!$E$126:$E$132,1)))*INDEX(Aannames!$J$126:$J$132,MATCH(C74,Aannames!$E$126:$E$132,1)))+Aannames!$J$139,5000)</f>
        <v>2395000</v>
      </c>
      <c r="H74" s="629">
        <v>4000</v>
      </c>
      <c r="I74" s="629">
        <v>300</v>
      </c>
      <c r="J74" s="630">
        <v>40</v>
      </c>
      <c r="K74" s="594">
        <f t="shared" si="35"/>
        <v>538.9</v>
      </c>
      <c r="L74" s="594">
        <f t="shared" si="36"/>
        <v>76.850000000000009</v>
      </c>
      <c r="M74" s="600">
        <f t="shared" si="37"/>
        <v>461.05</v>
      </c>
      <c r="N74" s="601">
        <f t="shared" si="38"/>
        <v>1076.8</v>
      </c>
      <c r="O74" s="594">
        <f t="shared" si="39"/>
        <v>243.55</v>
      </c>
      <c r="P74" s="600">
        <f t="shared" si="40"/>
        <v>239.5</v>
      </c>
      <c r="Q74" s="631">
        <f t="shared" si="41"/>
        <v>483.05</v>
      </c>
      <c r="R74" s="594">
        <f t="shared" si="42"/>
        <v>1316.3</v>
      </c>
      <c r="S74" s="599">
        <f t="shared" si="43"/>
        <v>1559.85</v>
      </c>
      <c r="U74" s="603">
        <f t="shared" si="44"/>
        <v>1062.7224999999999</v>
      </c>
      <c r="V74" s="599">
        <f t="shared" si="45"/>
        <v>1306.2724999999998</v>
      </c>
      <c r="X74" s="767">
        <f t="shared" si="46"/>
        <v>19.8</v>
      </c>
    </row>
    <row r="75" spans="1:24">
      <c r="A75" s="310">
        <f t="shared" si="33"/>
        <v>75</v>
      </c>
      <c r="C75" s="617">
        <f t="shared" si="48"/>
        <v>120</v>
      </c>
      <c r="D75" s="12">
        <f t="shared" si="34"/>
        <v>160.92265075140338</v>
      </c>
      <c r="E75" s="63" t="str">
        <f t="shared" si="47"/>
        <v>Stroper met Snytafel - 120kW / 161PK</v>
      </c>
      <c r="F75" s="135"/>
      <c r="G75" s="620">
        <f>MROUND(C75*((C75-INDEX(Aannames!$E$126:$E$132,MATCH(C75,Aannames!$E$126:$E$132,1)))/(INDEX(Aannames!$E$126:$E$132,MATCH(C75,Aannames!$E$126:$E$132,1)+1)-INDEX(Aannames!$E$126:$E$132,MATCH(C75,Aannames!$E$126:$E$132,1)))*INDEX(Aannames!$J$126:$J$132,MATCH(C75,Aannames!$E$126:$E$132,1)+1)
+(INDEX(Aannames!$E$126:$E$132,MATCH(C75,Aannames!$E$126:$E$132,1)+1)-C75)/(INDEX(Aannames!$E$126:$E$132,MATCH(C75,Aannames!$E$126:$E$132,1)+1)-INDEX(Aannames!$E$126:$E$132,MATCH(C75,Aannames!$E$126:$E$132,1)))*INDEX(Aannames!$J$126:$J$132,MATCH(C75,Aannames!$E$126:$E$132,1)))+Aannames!$J$139,5000)</f>
        <v>2545000</v>
      </c>
      <c r="H75" s="629">
        <v>4000</v>
      </c>
      <c r="I75" s="629">
        <v>300</v>
      </c>
      <c r="J75" s="630">
        <v>40</v>
      </c>
      <c r="K75" s="594">
        <f t="shared" si="35"/>
        <v>572.65</v>
      </c>
      <c r="L75" s="594">
        <f t="shared" si="36"/>
        <v>81.650000000000006</v>
      </c>
      <c r="M75" s="600">
        <f t="shared" si="37"/>
        <v>489.90000000000003</v>
      </c>
      <c r="N75" s="601">
        <f t="shared" si="38"/>
        <v>1144.2</v>
      </c>
      <c r="O75" s="594">
        <f t="shared" si="39"/>
        <v>265.7</v>
      </c>
      <c r="P75" s="600">
        <f t="shared" si="40"/>
        <v>254.5</v>
      </c>
      <c r="Q75" s="631">
        <f t="shared" si="41"/>
        <v>520.20000000000005</v>
      </c>
      <c r="R75" s="594">
        <f t="shared" si="42"/>
        <v>1398.7</v>
      </c>
      <c r="S75" s="599">
        <f t="shared" si="43"/>
        <v>1664.4</v>
      </c>
      <c r="U75" s="603">
        <f t="shared" si="44"/>
        <v>1129.2550000000001</v>
      </c>
      <c r="V75" s="599">
        <f t="shared" si="45"/>
        <v>1394.9550000000002</v>
      </c>
      <c r="X75" s="767">
        <f t="shared" si="46"/>
        <v>21.6</v>
      </c>
    </row>
    <row r="76" spans="1:24">
      <c r="A76" s="310">
        <f t="shared" si="33"/>
        <v>76</v>
      </c>
      <c r="C76" s="617">
        <f t="shared" si="48"/>
        <v>130</v>
      </c>
      <c r="D76" s="12">
        <f t="shared" si="34"/>
        <v>174.33287164735367</v>
      </c>
      <c r="E76" s="63" t="str">
        <f t="shared" si="47"/>
        <v>Stroper met Snytafel - 130kW / 174PK</v>
      </c>
      <c r="F76" s="135"/>
      <c r="G76" s="620">
        <f>MROUND(C76*((C76-INDEX(Aannames!$E$126:$E$132,MATCH(C76,Aannames!$E$126:$E$132,1)))/(INDEX(Aannames!$E$126:$E$132,MATCH(C76,Aannames!$E$126:$E$132,1)+1)-INDEX(Aannames!$E$126:$E$132,MATCH(C76,Aannames!$E$126:$E$132,1)))*INDEX(Aannames!$J$126:$J$132,MATCH(C76,Aannames!$E$126:$E$132,1)+1)
+(INDEX(Aannames!$E$126:$E$132,MATCH(C76,Aannames!$E$126:$E$132,1)+1)-C76)/(INDEX(Aannames!$E$126:$E$132,MATCH(C76,Aannames!$E$126:$E$132,1)+1)-INDEX(Aannames!$E$126:$E$132,MATCH(C76,Aannames!$E$126:$E$132,1)))*INDEX(Aannames!$J$126:$J$132,MATCH(C76,Aannames!$E$126:$E$132,1)))+Aannames!$J$139,5000)</f>
        <v>2690000</v>
      </c>
      <c r="H76" s="629">
        <v>4000</v>
      </c>
      <c r="I76" s="629">
        <v>300</v>
      </c>
      <c r="J76" s="630">
        <v>40</v>
      </c>
      <c r="K76" s="594">
        <f t="shared" si="35"/>
        <v>605.25</v>
      </c>
      <c r="L76" s="594">
        <f t="shared" si="36"/>
        <v>86.300000000000011</v>
      </c>
      <c r="M76" s="600">
        <f t="shared" si="37"/>
        <v>517.85</v>
      </c>
      <c r="N76" s="601">
        <f t="shared" si="38"/>
        <v>1209.4000000000001</v>
      </c>
      <c r="O76" s="594">
        <f t="shared" si="39"/>
        <v>287.8</v>
      </c>
      <c r="P76" s="600">
        <f t="shared" si="40"/>
        <v>269</v>
      </c>
      <c r="Q76" s="631">
        <f t="shared" si="41"/>
        <v>556.79999999999995</v>
      </c>
      <c r="R76" s="594">
        <f t="shared" si="42"/>
        <v>1478.4</v>
      </c>
      <c r="S76" s="599">
        <f t="shared" si="43"/>
        <v>1766.2</v>
      </c>
      <c r="U76" s="603">
        <f t="shared" si="44"/>
        <v>1193.5825</v>
      </c>
      <c r="V76" s="599">
        <f t="shared" si="45"/>
        <v>1481.3824999999999</v>
      </c>
      <c r="X76" s="767">
        <f t="shared" si="46"/>
        <v>23.400000000000002</v>
      </c>
    </row>
    <row r="77" spans="1:24">
      <c r="A77" s="310">
        <f t="shared" si="33"/>
        <v>77</v>
      </c>
      <c r="C77" s="617">
        <f t="shared" si="48"/>
        <v>140</v>
      </c>
      <c r="D77" s="12">
        <f t="shared" si="34"/>
        <v>187.74309254330396</v>
      </c>
      <c r="E77" s="63" t="str">
        <f t="shared" si="47"/>
        <v>Stroper met Snytafel - 140kW / 188PK</v>
      </c>
      <c r="F77" s="135"/>
      <c r="G77" s="620">
        <f>MROUND(C77*((C77-INDEX(Aannames!$E$126:$E$132,MATCH(C77,Aannames!$E$126:$E$132,1)))/(INDEX(Aannames!$E$126:$E$132,MATCH(C77,Aannames!$E$126:$E$132,1)+1)-INDEX(Aannames!$E$126:$E$132,MATCH(C77,Aannames!$E$126:$E$132,1)))*INDEX(Aannames!$J$126:$J$132,MATCH(C77,Aannames!$E$126:$E$132,1)+1)
+(INDEX(Aannames!$E$126:$E$132,MATCH(C77,Aannames!$E$126:$E$132,1)+1)-C77)/(INDEX(Aannames!$E$126:$E$132,MATCH(C77,Aannames!$E$126:$E$132,1)+1)-INDEX(Aannames!$E$126:$E$132,MATCH(C77,Aannames!$E$126:$E$132,1)))*INDEX(Aannames!$J$126:$J$132,MATCH(C77,Aannames!$E$126:$E$132,1)))+Aannames!$J$139,5000)</f>
        <v>2840000</v>
      </c>
      <c r="H77" s="629">
        <v>4000</v>
      </c>
      <c r="I77" s="629">
        <v>300</v>
      </c>
      <c r="J77" s="630">
        <v>40</v>
      </c>
      <c r="K77" s="594">
        <f t="shared" si="35"/>
        <v>639</v>
      </c>
      <c r="L77" s="594">
        <f t="shared" si="36"/>
        <v>91.100000000000009</v>
      </c>
      <c r="M77" s="600">
        <f t="shared" si="37"/>
        <v>546.70000000000005</v>
      </c>
      <c r="N77" s="601">
        <f t="shared" si="38"/>
        <v>1276.8000000000002</v>
      </c>
      <c r="O77" s="594">
        <f t="shared" si="39"/>
        <v>309.95000000000005</v>
      </c>
      <c r="P77" s="600">
        <f t="shared" si="40"/>
        <v>284</v>
      </c>
      <c r="Q77" s="631">
        <f t="shared" si="41"/>
        <v>593.95000000000005</v>
      </c>
      <c r="R77" s="594">
        <f t="shared" si="42"/>
        <v>1560.8000000000002</v>
      </c>
      <c r="S77" s="599">
        <f t="shared" si="43"/>
        <v>1870.7500000000002</v>
      </c>
      <c r="U77" s="603">
        <f t="shared" si="44"/>
        <v>1260.1150000000002</v>
      </c>
      <c r="V77" s="599">
        <f t="shared" si="45"/>
        <v>1570.0650000000003</v>
      </c>
      <c r="X77" s="767">
        <f t="shared" si="46"/>
        <v>25.200000000000003</v>
      </c>
    </row>
    <row r="78" spans="1:24">
      <c r="A78" s="310">
        <f t="shared" si="33"/>
        <v>78</v>
      </c>
      <c r="C78" s="617">
        <f t="shared" si="48"/>
        <v>150</v>
      </c>
      <c r="D78" s="12">
        <f t="shared" si="34"/>
        <v>201.15331343925422</v>
      </c>
      <c r="E78" s="63" t="str">
        <f t="shared" si="47"/>
        <v>Stroper met Snytafel - 150kW / 201PK</v>
      </c>
      <c r="F78" s="135"/>
      <c r="G78" s="620">
        <f>MROUND(C78*((C78-INDEX(Aannames!$E$126:$E$132,MATCH(C78,Aannames!$E$126:$E$132,1)))/(INDEX(Aannames!$E$126:$E$132,MATCH(C78,Aannames!$E$126:$E$132,1)+1)-INDEX(Aannames!$E$126:$E$132,MATCH(C78,Aannames!$E$126:$E$132,1)))*INDEX(Aannames!$J$126:$J$132,MATCH(C78,Aannames!$E$126:$E$132,1)+1)
+(INDEX(Aannames!$E$126:$E$132,MATCH(C78,Aannames!$E$126:$E$132,1)+1)-C78)/(INDEX(Aannames!$E$126:$E$132,MATCH(C78,Aannames!$E$126:$E$132,1)+1)-INDEX(Aannames!$E$126:$E$132,MATCH(C78,Aannames!$E$126:$E$132,1)))*INDEX(Aannames!$J$126:$J$132,MATCH(C78,Aannames!$E$126:$E$132,1)))+Aannames!$J$139,5000)</f>
        <v>2990000</v>
      </c>
      <c r="H78" s="629">
        <v>4000</v>
      </c>
      <c r="I78" s="629">
        <v>300</v>
      </c>
      <c r="J78" s="630">
        <v>40</v>
      </c>
      <c r="K78" s="594">
        <f t="shared" si="35"/>
        <v>672.75</v>
      </c>
      <c r="L78" s="594">
        <f t="shared" si="36"/>
        <v>95.95</v>
      </c>
      <c r="M78" s="600">
        <f t="shared" si="37"/>
        <v>575.6</v>
      </c>
      <c r="N78" s="601">
        <f t="shared" si="38"/>
        <v>1344.3000000000002</v>
      </c>
      <c r="O78" s="594">
        <f t="shared" si="39"/>
        <v>332.1</v>
      </c>
      <c r="P78" s="600">
        <f t="shared" si="40"/>
        <v>299</v>
      </c>
      <c r="Q78" s="631">
        <f t="shared" si="41"/>
        <v>631.1</v>
      </c>
      <c r="R78" s="594">
        <f t="shared" si="42"/>
        <v>1643.3000000000002</v>
      </c>
      <c r="S78" s="599">
        <f t="shared" si="43"/>
        <v>1975.4</v>
      </c>
      <c r="U78" s="603">
        <f t="shared" si="44"/>
        <v>1326.7200000000003</v>
      </c>
      <c r="V78" s="599">
        <f t="shared" si="45"/>
        <v>1658.8200000000002</v>
      </c>
      <c r="X78" s="767">
        <f t="shared" si="46"/>
        <v>27</v>
      </c>
    </row>
    <row r="79" spans="1:24">
      <c r="A79" s="310">
        <f t="shared" si="33"/>
        <v>79</v>
      </c>
      <c r="C79" s="617">
        <f t="shared" si="48"/>
        <v>160</v>
      </c>
      <c r="D79" s="12">
        <f t="shared" si="34"/>
        <v>214.56353433520451</v>
      </c>
      <c r="E79" s="63" t="str">
        <f t="shared" si="47"/>
        <v>Stroper met Snytafel - 160kW / 215PK</v>
      </c>
      <c r="F79" s="135"/>
      <c r="G79" s="620">
        <f>MROUND(C79*((C79-INDEX(Aannames!$E$126:$E$132,MATCH(C79,Aannames!$E$126:$E$132,1)))/(INDEX(Aannames!$E$126:$E$132,MATCH(C79,Aannames!$E$126:$E$132,1)+1)-INDEX(Aannames!$E$126:$E$132,MATCH(C79,Aannames!$E$126:$E$132,1)))*INDEX(Aannames!$J$126:$J$132,MATCH(C79,Aannames!$E$126:$E$132,1)+1)
+(INDEX(Aannames!$E$126:$E$132,MATCH(C79,Aannames!$E$126:$E$132,1)+1)-C79)/(INDEX(Aannames!$E$126:$E$132,MATCH(C79,Aannames!$E$126:$E$132,1)+1)-INDEX(Aannames!$E$126:$E$132,MATCH(C79,Aannames!$E$126:$E$132,1)))*INDEX(Aannames!$J$126:$J$132,MATCH(C79,Aannames!$E$126:$E$132,1)))+Aannames!$J$139,5000)</f>
        <v>3140000</v>
      </c>
      <c r="H79" s="629">
        <v>4000</v>
      </c>
      <c r="I79" s="629">
        <v>300</v>
      </c>
      <c r="J79" s="630">
        <v>40</v>
      </c>
      <c r="K79" s="594">
        <f t="shared" si="35"/>
        <v>706.5</v>
      </c>
      <c r="L79" s="594">
        <f t="shared" si="36"/>
        <v>100.75</v>
      </c>
      <c r="M79" s="600">
        <f t="shared" si="37"/>
        <v>604.45000000000005</v>
      </c>
      <c r="N79" s="601">
        <f t="shared" si="38"/>
        <v>1411.7</v>
      </c>
      <c r="O79" s="594">
        <f t="shared" si="39"/>
        <v>354.25</v>
      </c>
      <c r="P79" s="600">
        <f t="shared" si="40"/>
        <v>314</v>
      </c>
      <c r="Q79" s="631">
        <f t="shared" si="41"/>
        <v>668.25</v>
      </c>
      <c r="R79" s="594">
        <f t="shared" si="42"/>
        <v>1725.7</v>
      </c>
      <c r="S79" s="599">
        <f t="shared" si="43"/>
        <v>2079.9499999999998</v>
      </c>
      <c r="U79" s="603">
        <f t="shared" si="44"/>
        <v>1393.2525000000001</v>
      </c>
      <c r="V79" s="599">
        <f t="shared" si="45"/>
        <v>1747.5025000000001</v>
      </c>
      <c r="X79" s="767">
        <f t="shared" si="46"/>
        <v>28.8</v>
      </c>
    </row>
    <row r="80" spans="1:24">
      <c r="A80" s="310">
        <f t="shared" si="33"/>
        <v>80</v>
      </c>
      <c r="C80" s="617">
        <f t="shared" si="48"/>
        <v>170</v>
      </c>
      <c r="D80" s="12">
        <f t="shared" si="34"/>
        <v>227.9737552311548</v>
      </c>
      <c r="E80" s="63" t="str">
        <f t="shared" si="47"/>
        <v>Stroper met Snytafel - 170kW / 228PK</v>
      </c>
      <c r="F80" s="135"/>
      <c r="G80" s="620">
        <f>MROUND(C80*((C80-INDEX(Aannames!$E$126:$E$132,MATCH(C80,Aannames!$E$126:$E$132,1)))/(INDEX(Aannames!$E$126:$E$132,MATCH(C80,Aannames!$E$126:$E$132,1)+1)-INDEX(Aannames!$E$126:$E$132,MATCH(C80,Aannames!$E$126:$E$132,1)))*INDEX(Aannames!$J$126:$J$132,MATCH(C80,Aannames!$E$126:$E$132,1)+1)
+(INDEX(Aannames!$E$126:$E$132,MATCH(C80,Aannames!$E$126:$E$132,1)+1)-C80)/(INDEX(Aannames!$E$126:$E$132,MATCH(C80,Aannames!$E$126:$E$132,1)+1)-INDEX(Aannames!$E$126:$E$132,MATCH(C80,Aannames!$E$126:$E$132,1)))*INDEX(Aannames!$J$126:$J$132,MATCH(C80,Aannames!$E$126:$E$132,1)))+Aannames!$J$139,5000)</f>
        <v>3295000</v>
      </c>
      <c r="H80" s="629">
        <v>4000</v>
      </c>
      <c r="I80" s="629">
        <v>300</v>
      </c>
      <c r="J80" s="630">
        <v>40</v>
      </c>
      <c r="K80" s="594">
        <f t="shared" si="35"/>
        <v>741.40000000000009</v>
      </c>
      <c r="L80" s="594">
        <f t="shared" si="36"/>
        <v>105.7</v>
      </c>
      <c r="M80" s="600">
        <f t="shared" si="37"/>
        <v>634.30000000000007</v>
      </c>
      <c r="N80" s="601">
        <f t="shared" si="38"/>
        <v>1481.4</v>
      </c>
      <c r="O80" s="594">
        <f t="shared" si="39"/>
        <v>376.40000000000003</v>
      </c>
      <c r="P80" s="600">
        <f t="shared" si="40"/>
        <v>329.5</v>
      </c>
      <c r="Q80" s="631">
        <f t="shared" si="41"/>
        <v>705.90000000000009</v>
      </c>
      <c r="R80" s="594">
        <f t="shared" si="42"/>
        <v>1810.9</v>
      </c>
      <c r="S80" s="599">
        <f t="shared" si="43"/>
        <v>2187.3000000000002</v>
      </c>
      <c r="U80" s="603">
        <f t="shared" si="44"/>
        <v>1462.0350000000001</v>
      </c>
      <c r="V80" s="599">
        <f t="shared" si="45"/>
        <v>1838.4350000000002</v>
      </c>
      <c r="X80" s="767">
        <f t="shared" si="46"/>
        <v>30.6</v>
      </c>
    </row>
    <row r="81" spans="1:24">
      <c r="A81" s="310">
        <f t="shared" si="33"/>
        <v>81</v>
      </c>
      <c r="C81" s="617">
        <f t="shared" si="48"/>
        <v>180</v>
      </c>
      <c r="D81" s="12">
        <f t="shared" si="34"/>
        <v>241.38397612710509</v>
      </c>
      <c r="E81" s="63" t="str">
        <f t="shared" si="47"/>
        <v>Stroper met Snytafel - 180kW / 241PK</v>
      </c>
      <c r="F81" s="135"/>
      <c r="G81" s="620">
        <f>MROUND(C81*((C81-INDEX(Aannames!$E$126:$E$132,MATCH(C81,Aannames!$E$126:$E$132,1)))/(INDEX(Aannames!$E$126:$E$132,MATCH(C81,Aannames!$E$126:$E$132,1)+1)-INDEX(Aannames!$E$126:$E$132,MATCH(C81,Aannames!$E$126:$E$132,1)))*INDEX(Aannames!$J$126:$J$132,MATCH(C81,Aannames!$E$126:$E$132,1)+1)
+(INDEX(Aannames!$E$126:$E$132,MATCH(C81,Aannames!$E$126:$E$132,1)+1)-C81)/(INDEX(Aannames!$E$126:$E$132,MATCH(C81,Aannames!$E$126:$E$132,1)+1)-INDEX(Aannames!$E$126:$E$132,MATCH(C81,Aannames!$E$126:$E$132,1)))*INDEX(Aannames!$J$126:$J$132,MATCH(C81,Aannames!$E$126:$E$132,1)))+Aannames!$J$139,5000)</f>
        <v>3445000</v>
      </c>
      <c r="H81" s="629">
        <v>4000</v>
      </c>
      <c r="I81" s="629">
        <v>300</v>
      </c>
      <c r="J81" s="630">
        <v>40</v>
      </c>
      <c r="K81" s="594">
        <f t="shared" si="35"/>
        <v>775.15000000000009</v>
      </c>
      <c r="L81" s="594">
        <f t="shared" si="36"/>
        <v>110.55000000000001</v>
      </c>
      <c r="M81" s="600">
        <f t="shared" si="37"/>
        <v>663.15000000000009</v>
      </c>
      <c r="N81" s="601">
        <f t="shared" si="38"/>
        <v>1548.8500000000001</v>
      </c>
      <c r="O81" s="594">
        <f t="shared" si="39"/>
        <v>398.5</v>
      </c>
      <c r="P81" s="600">
        <f t="shared" si="40"/>
        <v>344.5</v>
      </c>
      <c r="Q81" s="631">
        <f t="shared" si="41"/>
        <v>743</v>
      </c>
      <c r="R81" s="594">
        <f t="shared" si="42"/>
        <v>1893.3500000000001</v>
      </c>
      <c r="S81" s="599">
        <f t="shared" si="43"/>
        <v>2291.8500000000004</v>
      </c>
      <c r="U81" s="603">
        <f t="shared" si="44"/>
        <v>1528.6175000000001</v>
      </c>
      <c r="V81" s="599">
        <f t="shared" si="45"/>
        <v>1927.1175000000001</v>
      </c>
      <c r="X81" s="767">
        <f t="shared" si="46"/>
        <v>32.4</v>
      </c>
    </row>
    <row r="82" spans="1:24">
      <c r="A82" s="310">
        <f t="shared" si="33"/>
        <v>82</v>
      </c>
      <c r="C82" s="617">
        <f t="shared" si="48"/>
        <v>190</v>
      </c>
      <c r="D82" s="12">
        <f t="shared" si="34"/>
        <v>254.79419702305537</v>
      </c>
      <c r="E82" s="63" t="str">
        <f t="shared" si="47"/>
        <v>Stroper met Snytafel - 190kW / 255PK</v>
      </c>
      <c r="F82" s="135"/>
      <c r="G82" s="620">
        <f>MROUND(C82*((C82-INDEX(Aannames!$E$126:$E$132,MATCH(C82,Aannames!$E$126:$E$132,1)))/(INDEX(Aannames!$E$126:$E$132,MATCH(C82,Aannames!$E$126:$E$132,1)+1)-INDEX(Aannames!$E$126:$E$132,MATCH(C82,Aannames!$E$126:$E$132,1)))*INDEX(Aannames!$J$126:$J$132,MATCH(C82,Aannames!$E$126:$E$132,1)+1)
+(INDEX(Aannames!$E$126:$E$132,MATCH(C82,Aannames!$E$126:$E$132,1)+1)-C82)/(INDEX(Aannames!$E$126:$E$132,MATCH(C82,Aannames!$E$126:$E$132,1)+1)-INDEX(Aannames!$E$126:$E$132,MATCH(C82,Aannames!$E$126:$E$132,1)))*INDEX(Aannames!$J$126:$J$132,MATCH(C82,Aannames!$E$126:$E$132,1)))+Aannames!$J$139,5000)</f>
        <v>3595000</v>
      </c>
      <c r="H82" s="629">
        <v>4000</v>
      </c>
      <c r="I82" s="629">
        <v>300</v>
      </c>
      <c r="J82" s="630">
        <v>40</v>
      </c>
      <c r="K82" s="594">
        <f t="shared" si="35"/>
        <v>808.90000000000009</v>
      </c>
      <c r="L82" s="594">
        <f t="shared" si="36"/>
        <v>115.35000000000001</v>
      </c>
      <c r="M82" s="600">
        <f t="shared" si="37"/>
        <v>692.05000000000007</v>
      </c>
      <c r="N82" s="601">
        <f t="shared" si="38"/>
        <v>1616.3000000000002</v>
      </c>
      <c r="O82" s="594">
        <f t="shared" si="39"/>
        <v>420.65000000000003</v>
      </c>
      <c r="P82" s="600">
        <f t="shared" si="40"/>
        <v>359.5</v>
      </c>
      <c r="Q82" s="631">
        <f t="shared" si="41"/>
        <v>780.15000000000009</v>
      </c>
      <c r="R82" s="594">
        <f t="shared" si="42"/>
        <v>1975.8000000000002</v>
      </c>
      <c r="S82" s="599">
        <f t="shared" si="43"/>
        <v>2396.4500000000003</v>
      </c>
      <c r="U82" s="603">
        <f t="shared" si="44"/>
        <v>1595.1725000000001</v>
      </c>
      <c r="V82" s="599">
        <f t="shared" si="45"/>
        <v>2015.8225000000002</v>
      </c>
      <c r="X82" s="767">
        <f t="shared" si="46"/>
        <v>34.200000000000003</v>
      </c>
    </row>
    <row r="83" spans="1:24">
      <c r="A83" s="310">
        <f t="shared" si="33"/>
        <v>83</v>
      </c>
      <c r="C83" s="617">
        <f t="shared" si="48"/>
        <v>200</v>
      </c>
      <c r="D83" s="12">
        <f t="shared" si="34"/>
        <v>268.20441791900566</v>
      </c>
      <c r="E83" s="63" t="str">
        <f t="shared" si="47"/>
        <v>Stroper met Snytafel - 200kW / 268PK</v>
      </c>
      <c r="F83" s="135"/>
      <c r="G83" s="620">
        <f>MROUND(C83*((C83-INDEX(Aannames!$E$126:$E$132,MATCH(C83,Aannames!$E$126:$E$132,1)))/(INDEX(Aannames!$E$126:$E$132,MATCH(C83,Aannames!$E$126:$E$132,1)+1)-INDEX(Aannames!$E$126:$E$132,MATCH(C83,Aannames!$E$126:$E$132,1)))*INDEX(Aannames!$J$126:$J$132,MATCH(C83,Aannames!$E$126:$E$132,1)+1)
+(INDEX(Aannames!$E$126:$E$132,MATCH(C83,Aannames!$E$126:$E$132,1)+1)-C83)/(INDEX(Aannames!$E$126:$E$132,MATCH(C83,Aannames!$E$126:$E$132,1)+1)-INDEX(Aannames!$E$126:$E$132,MATCH(C83,Aannames!$E$126:$E$132,1)))*INDEX(Aannames!$J$126:$J$132,MATCH(C83,Aannames!$E$126:$E$132,1)))+Aannames!$J$139,5000)</f>
        <v>3750000</v>
      </c>
      <c r="H83" s="629">
        <v>4000</v>
      </c>
      <c r="I83" s="629">
        <v>300</v>
      </c>
      <c r="J83" s="630">
        <v>40</v>
      </c>
      <c r="K83" s="594">
        <f t="shared" si="35"/>
        <v>843.75</v>
      </c>
      <c r="L83" s="594">
        <f t="shared" si="36"/>
        <v>120.30000000000001</v>
      </c>
      <c r="M83" s="600">
        <f t="shared" si="37"/>
        <v>721.90000000000009</v>
      </c>
      <c r="N83" s="601">
        <f t="shared" si="38"/>
        <v>1685.95</v>
      </c>
      <c r="O83" s="594">
        <f t="shared" si="39"/>
        <v>442.8</v>
      </c>
      <c r="P83" s="600">
        <f t="shared" si="40"/>
        <v>375</v>
      </c>
      <c r="Q83" s="631">
        <f t="shared" si="41"/>
        <v>817.8</v>
      </c>
      <c r="R83" s="594">
        <f t="shared" si="42"/>
        <v>2060.9499999999998</v>
      </c>
      <c r="S83" s="599">
        <f t="shared" si="43"/>
        <v>2503.75</v>
      </c>
      <c r="U83" s="603">
        <f t="shared" si="44"/>
        <v>1663.9049999999997</v>
      </c>
      <c r="V83" s="599">
        <f t="shared" si="45"/>
        <v>2106.7049999999999</v>
      </c>
      <c r="X83" s="767">
        <f t="shared" si="46"/>
        <v>36</v>
      </c>
    </row>
    <row r="84" spans="1:24">
      <c r="A84" s="310">
        <f t="shared" si="33"/>
        <v>84</v>
      </c>
      <c r="C84" s="617">
        <f t="shared" si="48"/>
        <v>210</v>
      </c>
      <c r="D84" s="12">
        <f t="shared" si="34"/>
        <v>281.61463881495592</v>
      </c>
      <c r="E84" s="63" t="str">
        <f t="shared" si="47"/>
        <v>Stroper met Snytafel - 210kW / 282PK</v>
      </c>
      <c r="F84" s="135"/>
      <c r="G84" s="620">
        <f>MROUND(C84*((C84-INDEX(Aannames!$E$126:$E$132,MATCH(C84,Aannames!$E$126:$E$132,1)))/(INDEX(Aannames!$E$126:$E$132,MATCH(C84,Aannames!$E$126:$E$132,1)+1)-INDEX(Aannames!$E$126:$E$132,MATCH(C84,Aannames!$E$126:$E$132,1)))*INDEX(Aannames!$J$126:$J$132,MATCH(C84,Aannames!$E$126:$E$132,1)+1)
+(INDEX(Aannames!$E$126:$E$132,MATCH(C84,Aannames!$E$126:$E$132,1)+1)-C84)/(INDEX(Aannames!$E$126:$E$132,MATCH(C84,Aannames!$E$126:$E$132,1)+1)-INDEX(Aannames!$E$126:$E$132,MATCH(C84,Aannames!$E$126:$E$132,1)))*INDEX(Aannames!$J$126:$J$132,MATCH(C84,Aannames!$E$126:$E$132,1)))+Aannames!$J$139,5000)</f>
        <v>3900000</v>
      </c>
      <c r="H84" s="629">
        <v>4000</v>
      </c>
      <c r="I84" s="629">
        <v>300</v>
      </c>
      <c r="J84" s="630">
        <v>40</v>
      </c>
      <c r="K84" s="594">
        <f t="shared" si="35"/>
        <v>877.5</v>
      </c>
      <c r="L84" s="594">
        <f t="shared" si="36"/>
        <v>125.15</v>
      </c>
      <c r="M84" s="600">
        <f t="shared" si="37"/>
        <v>750.75</v>
      </c>
      <c r="N84" s="601">
        <f t="shared" si="38"/>
        <v>1753.4</v>
      </c>
      <c r="O84" s="594">
        <f t="shared" si="39"/>
        <v>464.95000000000005</v>
      </c>
      <c r="P84" s="600">
        <f t="shared" si="40"/>
        <v>390</v>
      </c>
      <c r="Q84" s="631">
        <f t="shared" si="41"/>
        <v>854.95</v>
      </c>
      <c r="R84" s="594">
        <f t="shared" si="42"/>
        <v>2143.4</v>
      </c>
      <c r="S84" s="599">
        <f t="shared" si="43"/>
        <v>2608.3500000000004</v>
      </c>
      <c r="U84" s="603">
        <f t="shared" si="44"/>
        <v>1730.4875000000002</v>
      </c>
      <c r="V84" s="599">
        <f t="shared" si="45"/>
        <v>2195.4375</v>
      </c>
      <c r="X84" s="767">
        <f t="shared" si="46"/>
        <v>37.800000000000004</v>
      </c>
    </row>
    <row r="85" spans="1:24">
      <c r="A85" s="310">
        <f t="shared" si="33"/>
        <v>85</v>
      </c>
      <c r="C85" s="617">
        <f t="shared" si="48"/>
        <v>220</v>
      </c>
      <c r="D85" s="12">
        <f t="shared" si="34"/>
        <v>295.02485971090618</v>
      </c>
      <c r="E85" s="63" t="str">
        <f t="shared" si="47"/>
        <v>Stroper met Snytafel - 220kW / 295PK</v>
      </c>
      <c r="F85" s="135"/>
      <c r="G85" s="620">
        <f>MROUND(C85*((C85-INDEX(Aannames!$E$126:$E$132,MATCH(C85,Aannames!$E$126:$E$132,1)))/(INDEX(Aannames!$E$126:$E$132,MATCH(C85,Aannames!$E$126:$E$132,1)+1)-INDEX(Aannames!$E$126:$E$132,MATCH(C85,Aannames!$E$126:$E$132,1)))*INDEX(Aannames!$J$126:$J$132,MATCH(C85,Aannames!$E$126:$E$132,1)+1)
+(INDEX(Aannames!$E$126:$E$132,MATCH(C85,Aannames!$E$126:$E$132,1)+1)-C85)/(INDEX(Aannames!$E$126:$E$132,MATCH(C85,Aannames!$E$126:$E$132,1)+1)-INDEX(Aannames!$E$126:$E$132,MATCH(C85,Aannames!$E$126:$E$132,1)))*INDEX(Aannames!$J$126:$J$132,MATCH(C85,Aannames!$E$126:$E$132,1)))+Aannames!$J$139,5000)</f>
        <v>4045000</v>
      </c>
      <c r="H85" s="629">
        <v>4000</v>
      </c>
      <c r="I85" s="629">
        <v>300</v>
      </c>
      <c r="J85" s="630">
        <v>40</v>
      </c>
      <c r="K85" s="594">
        <f t="shared" si="35"/>
        <v>910.15000000000009</v>
      </c>
      <c r="L85" s="594">
        <f t="shared" si="36"/>
        <v>129.80000000000001</v>
      </c>
      <c r="M85" s="600">
        <f t="shared" si="37"/>
        <v>778.65000000000009</v>
      </c>
      <c r="N85" s="601">
        <f t="shared" si="38"/>
        <v>1818.6000000000001</v>
      </c>
      <c r="O85" s="594">
        <f t="shared" si="39"/>
        <v>487.1</v>
      </c>
      <c r="P85" s="600">
        <f t="shared" si="40"/>
        <v>404.5</v>
      </c>
      <c r="Q85" s="631">
        <f t="shared" si="41"/>
        <v>891.6</v>
      </c>
      <c r="R85" s="594">
        <f t="shared" si="42"/>
        <v>2223.1000000000004</v>
      </c>
      <c r="S85" s="599">
        <f t="shared" si="43"/>
        <v>2710.2000000000003</v>
      </c>
      <c r="U85" s="603">
        <f t="shared" si="44"/>
        <v>1794.8425000000002</v>
      </c>
      <c r="V85" s="599">
        <f t="shared" si="45"/>
        <v>2281.9425000000001</v>
      </c>
      <c r="X85" s="767">
        <f t="shared" si="46"/>
        <v>39.6</v>
      </c>
    </row>
    <row r="86" spans="1:24">
      <c r="A86" s="310">
        <f t="shared" si="33"/>
        <v>86</v>
      </c>
      <c r="C86" s="617">
        <f t="shared" si="48"/>
        <v>230</v>
      </c>
      <c r="D86" s="12">
        <f t="shared" si="34"/>
        <v>308.4350806068565</v>
      </c>
      <c r="E86" s="63" t="str">
        <f t="shared" si="47"/>
        <v>Stroper met Snytafel - 230kW / 308PK</v>
      </c>
      <c r="F86" s="135"/>
      <c r="G86" s="620">
        <f>MROUND(C86*((C86-INDEX(Aannames!$E$126:$E$132,MATCH(C86,Aannames!$E$126:$E$132,1)))/(INDEX(Aannames!$E$126:$E$132,MATCH(C86,Aannames!$E$126:$E$132,1)+1)-INDEX(Aannames!$E$126:$E$132,MATCH(C86,Aannames!$E$126:$E$132,1)))*INDEX(Aannames!$J$126:$J$132,MATCH(C86,Aannames!$E$126:$E$132,1)+1)
+(INDEX(Aannames!$E$126:$E$132,MATCH(C86,Aannames!$E$126:$E$132,1)+1)-C86)/(INDEX(Aannames!$E$126:$E$132,MATCH(C86,Aannames!$E$126:$E$132,1)+1)-INDEX(Aannames!$E$126:$E$132,MATCH(C86,Aannames!$E$126:$E$132,1)))*INDEX(Aannames!$J$126:$J$132,MATCH(C86,Aannames!$E$126:$E$132,1)))+Aannames!$J$139,5000)</f>
        <v>4195000</v>
      </c>
      <c r="H86" s="629">
        <v>4000</v>
      </c>
      <c r="I86" s="629">
        <v>300</v>
      </c>
      <c r="J86" s="630">
        <v>40</v>
      </c>
      <c r="K86" s="594">
        <f t="shared" si="35"/>
        <v>943.90000000000009</v>
      </c>
      <c r="L86" s="594">
        <f t="shared" si="36"/>
        <v>134.6</v>
      </c>
      <c r="M86" s="600">
        <f t="shared" si="37"/>
        <v>807.55000000000007</v>
      </c>
      <c r="N86" s="601">
        <f t="shared" si="38"/>
        <v>1886.0500000000002</v>
      </c>
      <c r="O86" s="594">
        <f t="shared" si="39"/>
        <v>509.20000000000005</v>
      </c>
      <c r="P86" s="600">
        <f t="shared" si="40"/>
        <v>419.5</v>
      </c>
      <c r="Q86" s="631">
        <f t="shared" si="41"/>
        <v>928.7</v>
      </c>
      <c r="R86" s="594">
        <f t="shared" si="42"/>
        <v>2305.5500000000002</v>
      </c>
      <c r="S86" s="599">
        <f t="shared" si="43"/>
        <v>2814.75</v>
      </c>
      <c r="U86" s="603">
        <f t="shared" si="44"/>
        <v>1861.3975</v>
      </c>
      <c r="V86" s="599">
        <f t="shared" si="45"/>
        <v>2370.5974999999999</v>
      </c>
      <c r="X86" s="767">
        <f t="shared" si="46"/>
        <v>41.400000000000006</v>
      </c>
    </row>
    <row r="87" spans="1:24">
      <c r="A87" s="310">
        <f t="shared" si="33"/>
        <v>87</v>
      </c>
      <c r="C87" s="617">
        <f t="shared" si="48"/>
        <v>240</v>
      </c>
      <c r="D87" s="12">
        <f t="shared" si="34"/>
        <v>321.84530150280676</v>
      </c>
      <c r="E87" s="63" t="str">
        <f t="shared" si="47"/>
        <v>Stroper met Snytafel - 240kW / 322PK</v>
      </c>
      <c r="F87" s="135"/>
      <c r="G87" s="620">
        <f>MROUND(C87*((C87-INDEX(Aannames!$E$126:$E$132,MATCH(C87,Aannames!$E$126:$E$132,1)))/(INDEX(Aannames!$E$126:$E$132,MATCH(C87,Aannames!$E$126:$E$132,1)+1)-INDEX(Aannames!$E$126:$E$132,MATCH(C87,Aannames!$E$126:$E$132,1)))*INDEX(Aannames!$J$126:$J$132,MATCH(C87,Aannames!$E$126:$E$132,1)+1)
+(INDEX(Aannames!$E$126:$E$132,MATCH(C87,Aannames!$E$126:$E$132,1)+1)-C87)/(INDEX(Aannames!$E$126:$E$132,MATCH(C87,Aannames!$E$126:$E$132,1)+1)-INDEX(Aannames!$E$126:$E$132,MATCH(C87,Aannames!$E$126:$E$132,1)))*INDEX(Aannames!$J$126:$J$132,MATCH(C87,Aannames!$E$126:$E$132,1)))+Aannames!$J$139,5000)</f>
        <v>4340000</v>
      </c>
      <c r="H87" s="629">
        <v>4000</v>
      </c>
      <c r="I87" s="629">
        <v>300</v>
      </c>
      <c r="J87" s="630">
        <v>40</v>
      </c>
      <c r="K87" s="594">
        <f t="shared" si="35"/>
        <v>976.5</v>
      </c>
      <c r="L87" s="594">
        <f t="shared" si="36"/>
        <v>139.25</v>
      </c>
      <c r="M87" s="600">
        <f t="shared" si="37"/>
        <v>835.45</v>
      </c>
      <c r="N87" s="601">
        <f t="shared" si="38"/>
        <v>1951.2</v>
      </c>
      <c r="O87" s="594">
        <f t="shared" si="39"/>
        <v>531.35</v>
      </c>
      <c r="P87" s="600">
        <f t="shared" si="40"/>
        <v>434</v>
      </c>
      <c r="Q87" s="631">
        <f t="shared" si="41"/>
        <v>965.35</v>
      </c>
      <c r="R87" s="594">
        <f t="shared" si="42"/>
        <v>2385.1999999999998</v>
      </c>
      <c r="S87" s="599">
        <f t="shared" si="43"/>
        <v>2916.55</v>
      </c>
      <c r="U87" s="603">
        <f t="shared" si="44"/>
        <v>1925.7024999999999</v>
      </c>
      <c r="V87" s="599">
        <f t="shared" si="45"/>
        <v>2457.0524999999998</v>
      </c>
      <c r="X87" s="767">
        <f t="shared" si="46"/>
        <v>43.2</v>
      </c>
    </row>
    <row r="88" spans="1:24">
      <c r="A88" s="310">
        <f t="shared" si="33"/>
        <v>88</v>
      </c>
      <c r="C88" s="617">
        <f t="shared" si="48"/>
        <v>250</v>
      </c>
      <c r="D88" s="12">
        <f t="shared" si="34"/>
        <v>335.25552239875708</v>
      </c>
      <c r="E88" s="63" t="str">
        <f t="shared" si="47"/>
        <v>Stroper met Snytafel - 250kW / 335PK</v>
      </c>
      <c r="F88" s="135"/>
      <c r="G88" s="620">
        <f>MROUND(C88*((C88-INDEX(Aannames!$E$126:$E$132,MATCH(C88,Aannames!$E$126:$E$132,1)))/(INDEX(Aannames!$E$126:$E$132,MATCH(C88,Aannames!$E$126:$E$132,1)+1)-INDEX(Aannames!$E$126:$E$132,MATCH(C88,Aannames!$E$126:$E$132,1)))*INDEX(Aannames!$J$126:$J$132,MATCH(C88,Aannames!$E$126:$E$132,1)+1)
+(INDEX(Aannames!$E$126:$E$132,MATCH(C88,Aannames!$E$126:$E$132,1)+1)-C88)/(INDEX(Aannames!$E$126:$E$132,MATCH(C88,Aannames!$E$126:$E$132,1)+1)-INDEX(Aannames!$E$126:$E$132,MATCH(C88,Aannames!$E$126:$E$132,1)))*INDEX(Aannames!$J$126:$J$132,MATCH(C88,Aannames!$E$126:$E$132,1)))+Aannames!$J$139,5000)</f>
        <v>4440000</v>
      </c>
      <c r="H88" s="629">
        <v>4000</v>
      </c>
      <c r="I88" s="629">
        <v>300</v>
      </c>
      <c r="J88" s="630">
        <v>40</v>
      </c>
      <c r="K88" s="594">
        <f t="shared" si="35"/>
        <v>999</v>
      </c>
      <c r="L88" s="594">
        <f t="shared" si="36"/>
        <v>142.45000000000002</v>
      </c>
      <c r="M88" s="600">
        <f t="shared" si="37"/>
        <v>854.7</v>
      </c>
      <c r="N88" s="601">
        <f t="shared" si="38"/>
        <v>1996.15</v>
      </c>
      <c r="O88" s="594">
        <f t="shared" si="39"/>
        <v>553.5</v>
      </c>
      <c r="P88" s="600">
        <f t="shared" si="40"/>
        <v>444</v>
      </c>
      <c r="Q88" s="631">
        <f t="shared" si="41"/>
        <v>997.5</v>
      </c>
      <c r="R88" s="594">
        <f t="shared" si="42"/>
        <v>2440.15</v>
      </c>
      <c r="S88" s="599">
        <f t="shared" si="43"/>
        <v>2993.65</v>
      </c>
      <c r="U88" s="603">
        <f t="shared" si="44"/>
        <v>1970.0650000000001</v>
      </c>
      <c r="V88" s="599">
        <f t="shared" si="45"/>
        <v>2523.5650000000001</v>
      </c>
      <c r="X88" s="767">
        <f t="shared" si="46"/>
        <v>45</v>
      </c>
    </row>
    <row r="89" spans="1:24">
      <c r="A89" s="310">
        <f t="shared" si="33"/>
        <v>89</v>
      </c>
      <c r="C89" s="617">
        <f t="shared" si="48"/>
        <v>260</v>
      </c>
      <c r="D89" s="12">
        <f t="shared" si="34"/>
        <v>348.66574329470734</v>
      </c>
      <c r="E89" s="63" t="str">
        <f t="shared" si="47"/>
        <v>Stroper met Snytafel - 260kW / 349PK</v>
      </c>
      <c r="F89" s="135"/>
      <c r="G89" s="620">
        <f>MROUND(C89*((C89-INDEX(Aannames!$E$126:$E$132,MATCH(C89,Aannames!$E$126:$E$132,1)))/(INDEX(Aannames!$E$126:$E$132,MATCH(C89,Aannames!$E$126:$E$132,1)+1)-INDEX(Aannames!$E$126:$E$132,MATCH(C89,Aannames!$E$126:$E$132,1)))*INDEX(Aannames!$J$126:$J$132,MATCH(C89,Aannames!$E$126:$E$132,1)+1)
+(INDEX(Aannames!$E$126:$E$132,MATCH(C89,Aannames!$E$126:$E$132,1)+1)-C89)/(INDEX(Aannames!$E$126:$E$132,MATCH(C89,Aannames!$E$126:$E$132,1)+1)-INDEX(Aannames!$E$126:$E$132,MATCH(C89,Aannames!$E$126:$E$132,1)))*INDEX(Aannames!$J$126:$J$132,MATCH(C89,Aannames!$E$126:$E$132,1)))+Aannames!$J$139,5000)</f>
        <v>4540000</v>
      </c>
      <c r="H89" s="629">
        <v>4000</v>
      </c>
      <c r="I89" s="629">
        <v>300</v>
      </c>
      <c r="J89" s="630">
        <v>40</v>
      </c>
      <c r="K89" s="594">
        <f t="shared" si="35"/>
        <v>1021.5</v>
      </c>
      <c r="L89" s="594">
        <f t="shared" si="36"/>
        <v>145.65</v>
      </c>
      <c r="M89" s="600">
        <f t="shared" si="37"/>
        <v>873.95</v>
      </c>
      <c r="N89" s="601">
        <f t="shared" si="38"/>
        <v>2041.1000000000001</v>
      </c>
      <c r="O89" s="594">
        <f t="shared" si="39"/>
        <v>575.65</v>
      </c>
      <c r="P89" s="600">
        <f t="shared" si="40"/>
        <v>454</v>
      </c>
      <c r="Q89" s="631">
        <f t="shared" si="41"/>
        <v>1029.6500000000001</v>
      </c>
      <c r="R89" s="594">
        <f t="shared" si="42"/>
        <v>2495.1000000000004</v>
      </c>
      <c r="S89" s="599">
        <f t="shared" si="43"/>
        <v>3070.75</v>
      </c>
      <c r="U89" s="603">
        <f t="shared" si="44"/>
        <v>2014.4275000000002</v>
      </c>
      <c r="V89" s="599">
        <f t="shared" si="45"/>
        <v>2590.0775000000003</v>
      </c>
      <c r="X89" s="767">
        <f t="shared" si="46"/>
        <v>46.800000000000004</v>
      </c>
    </row>
    <row r="90" spans="1:24">
      <c r="A90" s="310">
        <f t="shared" si="33"/>
        <v>90</v>
      </c>
      <c r="C90" s="617">
        <f>C89+10</f>
        <v>270</v>
      </c>
      <c r="D90" s="12">
        <f t="shared" si="34"/>
        <v>362.0759641906576</v>
      </c>
      <c r="E90" s="63" t="str">
        <f t="shared" si="47"/>
        <v>Stroper met Snytafel - 270kW / 362PK</v>
      </c>
      <c r="F90" s="135"/>
      <c r="G90" s="620">
        <f>MROUND(C90*((C90-INDEX(Aannames!$E$126:$E$132,MATCH(C90,Aannames!$E$126:$E$132,1)))/(INDEX(Aannames!$E$126:$E$132,MATCH(C90,Aannames!$E$126:$E$132,1)+1)-INDEX(Aannames!$E$126:$E$132,MATCH(C90,Aannames!$E$126:$E$132,1)))*INDEX(Aannames!$J$126:$J$132,MATCH(C90,Aannames!$E$126:$E$132,1)+1)
+(INDEX(Aannames!$E$126:$E$132,MATCH(C90,Aannames!$E$126:$E$132,1)+1)-C90)/(INDEX(Aannames!$E$126:$E$132,MATCH(C90,Aannames!$E$126:$E$132,1)+1)-INDEX(Aannames!$E$126:$E$132,MATCH(C90,Aannames!$E$126:$E$132,1)))*INDEX(Aannames!$J$126:$J$132,MATCH(C90,Aannames!$E$126:$E$132,1)))+Aannames!$J$139,5000)</f>
        <v>4630000</v>
      </c>
      <c r="H90" s="629">
        <v>4000</v>
      </c>
      <c r="I90" s="629">
        <v>300</v>
      </c>
      <c r="J90" s="630">
        <v>40</v>
      </c>
      <c r="K90" s="594">
        <f t="shared" si="35"/>
        <v>1041.75</v>
      </c>
      <c r="L90" s="594">
        <f t="shared" si="36"/>
        <v>148.55000000000001</v>
      </c>
      <c r="M90" s="600">
        <f t="shared" si="37"/>
        <v>891.30000000000007</v>
      </c>
      <c r="N90" s="601">
        <f t="shared" si="38"/>
        <v>2081.6</v>
      </c>
      <c r="O90" s="594">
        <f t="shared" si="39"/>
        <v>597.80000000000007</v>
      </c>
      <c r="P90" s="600">
        <f t="shared" si="40"/>
        <v>463</v>
      </c>
      <c r="Q90" s="631">
        <f t="shared" si="41"/>
        <v>1060.8000000000002</v>
      </c>
      <c r="R90" s="594">
        <f t="shared" si="42"/>
        <v>2544.6</v>
      </c>
      <c r="S90" s="599">
        <f t="shared" si="43"/>
        <v>3142.4</v>
      </c>
      <c r="U90" s="603">
        <f t="shared" si="44"/>
        <v>2054.3849999999998</v>
      </c>
      <c r="V90" s="599">
        <f t="shared" si="45"/>
        <v>2652.1849999999999</v>
      </c>
      <c r="X90" s="767">
        <f t="shared" si="46"/>
        <v>48.6</v>
      </c>
    </row>
    <row r="91" spans="1:24">
      <c r="A91" s="310">
        <f t="shared" si="33"/>
        <v>91</v>
      </c>
      <c r="C91" s="617">
        <f t="shared" si="48"/>
        <v>280</v>
      </c>
      <c r="D91" s="12">
        <f t="shared" si="34"/>
        <v>375.48618508660792</v>
      </c>
      <c r="E91" s="63" t="str">
        <f t="shared" si="47"/>
        <v>Stroper met Snytafel - 280kW / 375PK</v>
      </c>
      <c r="F91" s="135"/>
      <c r="G91" s="620">
        <f>MROUND(C91*((C91-INDEX(Aannames!$E$126:$E$132,MATCH(C91,Aannames!$E$126:$E$132,1)))/(INDEX(Aannames!$E$126:$E$132,MATCH(C91,Aannames!$E$126:$E$132,1)+1)-INDEX(Aannames!$E$126:$E$132,MATCH(C91,Aannames!$E$126:$E$132,1)))*INDEX(Aannames!$J$126:$J$132,MATCH(C91,Aannames!$E$126:$E$132,1)+1)
+(INDEX(Aannames!$E$126:$E$132,MATCH(C91,Aannames!$E$126:$E$132,1)+1)-C91)/(INDEX(Aannames!$E$126:$E$132,MATCH(C91,Aannames!$E$126:$E$132,1)+1)-INDEX(Aannames!$E$126:$E$132,MATCH(C91,Aannames!$E$126:$E$132,1)))*INDEX(Aannames!$J$126:$J$132,MATCH(C91,Aannames!$E$126:$E$132,1)))+Aannames!$J$139,5000)</f>
        <v>4720000</v>
      </c>
      <c r="H91" s="629">
        <v>4000</v>
      </c>
      <c r="I91" s="629">
        <v>300</v>
      </c>
      <c r="J91" s="630">
        <v>40</v>
      </c>
      <c r="K91" s="594">
        <f t="shared" si="35"/>
        <v>1062</v>
      </c>
      <c r="L91" s="594">
        <f t="shared" si="36"/>
        <v>151.45000000000002</v>
      </c>
      <c r="M91" s="600">
        <f t="shared" si="37"/>
        <v>908.6</v>
      </c>
      <c r="N91" s="601">
        <f t="shared" si="38"/>
        <v>2122.0500000000002</v>
      </c>
      <c r="O91" s="594">
        <f t="shared" si="39"/>
        <v>619.90000000000009</v>
      </c>
      <c r="P91" s="600">
        <f t="shared" si="40"/>
        <v>472</v>
      </c>
      <c r="Q91" s="631">
        <f t="shared" si="41"/>
        <v>1091.9000000000001</v>
      </c>
      <c r="R91" s="594">
        <f t="shared" si="42"/>
        <v>2594.0500000000002</v>
      </c>
      <c r="S91" s="599">
        <f t="shared" si="43"/>
        <v>3213.9500000000003</v>
      </c>
      <c r="U91" s="603">
        <f t="shared" si="44"/>
        <v>2094.3200000000002</v>
      </c>
      <c r="V91" s="599">
        <f t="shared" si="45"/>
        <v>2714.2200000000003</v>
      </c>
      <c r="X91" s="767">
        <f t="shared" si="46"/>
        <v>50.400000000000006</v>
      </c>
    </row>
    <row r="92" spans="1:24">
      <c r="A92" s="310">
        <f t="shared" si="33"/>
        <v>92</v>
      </c>
      <c r="C92" s="617">
        <f t="shared" si="48"/>
        <v>290</v>
      </c>
      <c r="D92" s="12">
        <f t="shared" si="34"/>
        <v>388.89640598255818</v>
      </c>
      <c r="E92" s="63" t="str">
        <f t="shared" si="47"/>
        <v>Stroper met Snytafel - 290kW / 389PK</v>
      </c>
      <c r="F92" s="135"/>
      <c r="G92" s="620">
        <f>MROUND(C92*((C92-INDEX(Aannames!$E$126:$E$132,MATCH(C92,Aannames!$E$126:$E$132,1)))/(INDEX(Aannames!$E$126:$E$132,MATCH(C92,Aannames!$E$126:$E$132,1)+1)-INDEX(Aannames!$E$126:$E$132,MATCH(C92,Aannames!$E$126:$E$132,1)))*INDEX(Aannames!$J$126:$J$132,MATCH(C92,Aannames!$E$126:$E$132,1)+1)
+(INDEX(Aannames!$E$126:$E$132,MATCH(C92,Aannames!$E$126:$E$132,1)+1)-C92)/(INDEX(Aannames!$E$126:$E$132,MATCH(C92,Aannames!$E$126:$E$132,1)+1)-INDEX(Aannames!$E$126:$E$132,MATCH(C92,Aannames!$E$126:$E$132,1)))*INDEX(Aannames!$J$126:$J$132,MATCH(C92,Aannames!$E$126:$E$132,1)))+Aannames!$J$139,5000)</f>
        <v>4825000</v>
      </c>
      <c r="H92" s="629">
        <v>4000</v>
      </c>
      <c r="I92" s="629">
        <v>300</v>
      </c>
      <c r="J92" s="630">
        <v>40</v>
      </c>
      <c r="K92" s="594">
        <f t="shared" si="35"/>
        <v>1085.6500000000001</v>
      </c>
      <c r="L92" s="594">
        <f t="shared" si="36"/>
        <v>154.80000000000001</v>
      </c>
      <c r="M92" s="600">
        <f t="shared" si="37"/>
        <v>928.80000000000007</v>
      </c>
      <c r="N92" s="601">
        <f t="shared" si="38"/>
        <v>2169.25</v>
      </c>
      <c r="O92" s="594">
        <f t="shared" si="39"/>
        <v>642.05000000000007</v>
      </c>
      <c r="P92" s="600">
        <f t="shared" si="40"/>
        <v>482.5</v>
      </c>
      <c r="Q92" s="631">
        <f t="shared" si="41"/>
        <v>1124.5500000000002</v>
      </c>
      <c r="R92" s="594">
        <f t="shared" si="42"/>
        <v>2651.75</v>
      </c>
      <c r="S92" s="599">
        <f t="shared" si="43"/>
        <v>3293.8</v>
      </c>
      <c r="U92" s="603">
        <f t="shared" si="44"/>
        <v>2140.91</v>
      </c>
      <c r="V92" s="599">
        <f t="shared" si="45"/>
        <v>2782.96</v>
      </c>
      <c r="X92" s="767">
        <f t="shared" si="46"/>
        <v>52.2</v>
      </c>
    </row>
    <row r="93" spans="1:24">
      <c r="A93" s="310">
        <f t="shared" si="33"/>
        <v>93</v>
      </c>
      <c r="C93" s="617">
        <f t="shared" si="48"/>
        <v>300</v>
      </c>
      <c r="D93" s="12">
        <f t="shared" si="34"/>
        <v>402.30662687850844</v>
      </c>
      <c r="E93" s="63" t="str">
        <f t="shared" si="47"/>
        <v>Stroper met Snytafel - 300kW / 402PK</v>
      </c>
      <c r="F93" s="135"/>
      <c r="G93" s="620">
        <f>MROUND(C93*((C93-INDEX(Aannames!$E$126:$E$132,MATCH(C93,Aannames!$E$126:$E$132,1)))/(INDEX(Aannames!$E$126:$E$132,MATCH(C93,Aannames!$E$126:$E$132,1)+1)-INDEX(Aannames!$E$126:$E$132,MATCH(C93,Aannames!$E$126:$E$132,1)))*INDEX(Aannames!$J$126:$J$132,MATCH(C93,Aannames!$E$126:$E$132,1)+1)
+(INDEX(Aannames!$E$126:$E$132,MATCH(C93,Aannames!$E$126:$E$132,1)+1)-C93)/(INDEX(Aannames!$E$126:$E$132,MATCH(C93,Aannames!$E$126:$E$132,1)+1)-INDEX(Aannames!$E$126:$E$132,MATCH(C93,Aannames!$E$126:$E$132,1)))*INDEX(Aannames!$J$126:$J$132,MATCH(C93,Aannames!$E$126:$E$132,1)))+Aannames!$J$139,5000)</f>
        <v>4925000</v>
      </c>
      <c r="H93" s="629">
        <v>4000</v>
      </c>
      <c r="I93" s="629">
        <v>300</v>
      </c>
      <c r="J93" s="630">
        <v>40</v>
      </c>
      <c r="K93" s="594">
        <f t="shared" si="35"/>
        <v>1108.1500000000001</v>
      </c>
      <c r="L93" s="594">
        <f t="shared" si="36"/>
        <v>158</v>
      </c>
      <c r="M93" s="600">
        <f t="shared" si="37"/>
        <v>948.05000000000007</v>
      </c>
      <c r="N93" s="601">
        <f t="shared" si="38"/>
        <v>2214.2000000000003</v>
      </c>
      <c r="O93" s="594">
        <f t="shared" si="39"/>
        <v>664.2</v>
      </c>
      <c r="P93" s="600">
        <f t="shared" si="40"/>
        <v>492.5</v>
      </c>
      <c r="Q93" s="631">
        <f t="shared" si="41"/>
        <v>1156.7</v>
      </c>
      <c r="R93" s="594">
        <f t="shared" si="42"/>
        <v>2706.7000000000003</v>
      </c>
      <c r="S93" s="599">
        <f t="shared" si="43"/>
        <v>3370.9000000000005</v>
      </c>
      <c r="U93" s="603">
        <f t="shared" si="44"/>
        <v>2185.2725</v>
      </c>
      <c r="V93" s="599">
        <f t="shared" si="45"/>
        <v>2849.4724999999999</v>
      </c>
      <c r="X93" s="767">
        <f t="shared" si="46"/>
        <v>54</v>
      </c>
    </row>
    <row r="94" spans="1:24">
      <c r="A94" s="310">
        <f t="shared" si="33"/>
        <v>94</v>
      </c>
      <c r="C94" s="617">
        <f t="shared" si="48"/>
        <v>310</v>
      </c>
      <c r="D94" s="12">
        <f t="shared" si="34"/>
        <v>415.71684777445876</v>
      </c>
      <c r="E94" s="63" t="str">
        <f t="shared" si="47"/>
        <v>Stroper met Snytafel - 310kW / 416PK</v>
      </c>
      <c r="F94" s="135"/>
      <c r="G94" s="620">
        <f>MROUND(C94*((C94-INDEX(Aannames!$E$126:$E$132,MATCH(C94,Aannames!$E$126:$E$132,1)))/(INDEX(Aannames!$E$126:$E$132,MATCH(C94,Aannames!$E$126:$E$132,1)+1)-INDEX(Aannames!$E$126:$E$132,MATCH(C94,Aannames!$E$126:$E$132,1)))*INDEX(Aannames!$J$126:$J$132,MATCH(C94,Aannames!$E$126:$E$132,1)+1)
+(INDEX(Aannames!$E$126:$E$132,MATCH(C94,Aannames!$E$126:$E$132,1)+1)-C94)/(INDEX(Aannames!$E$126:$E$132,MATCH(C94,Aannames!$E$126:$E$132,1)+1)-INDEX(Aannames!$E$126:$E$132,MATCH(C94,Aannames!$E$126:$E$132,1)))*INDEX(Aannames!$J$126:$J$132,MATCH(C94,Aannames!$E$126:$E$132,1)))+Aannames!$J$139,5000)</f>
        <v>5025000</v>
      </c>
      <c r="H94" s="629">
        <v>4000</v>
      </c>
      <c r="I94" s="629">
        <v>300</v>
      </c>
      <c r="J94" s="630">
        <v>40</v>
      </c>
      <c r="K94" s="594">
        <f t="shared" si="35"/>
        <v>1130.6500000000001</v>
      </c>
      <c r="L94" s="594">
        <f t="shared" si="36"/>
        <v>161.20000000000002</v>
      </c>
      <c r="M94" s="600">
        <f t="shared" si="37"/>
        <v>967.30000000000007</v>
      </c>
      <c r="N94" s="601">
        <f t="shared" si="38"/>
        <v>2259.15</v>
      </c>
      <c r="O94" s="594">
        <f t="shared" si="39"/>
        <v>686.35</v>
      </c>
      <c r="P94" s="600">
        <f t="shared" si="40"/>
        <v>502.5</v>
      </c>
      <c r="Q94" s="631">
        <f t="shared" si="41"/>
        <v>1188.8499999999999</v>
      </c>
      <c r="R94" s="594">
        <f t="shared" si="42"/>
        <v>2761.65</v>
      </c>
      <c r="S94" s="599">
        <f t="shared" si="43"/>
        <v>3448</v>
      </c>
      <c r="U94" s="603">
        <f t="shared" si="44"/>
        <v>2229.6350000000002</v>
      </c>
      <c r="V94" s="599">
        <f t="shared" si="45"/>
        <v>2915.9850000000001</v>
      </c>
      <c r="X94" s="767">
        <f t="shared" si="46"/>
        <v>55.800000000000004</v>
      </c>
    </row>
    <row r="95" spans="1:24">
      <c r="A95" s="310">
        <f t="shared" si="33"/>
        <v>95</v>
      </c>
      <c r="C95" s="617">
        <f t="shared" si="48"/>
        <v>320</v>
      </c>
      <c r="D95" s="12">
        <f t="shared" si="34"/>
        <v>429.12706867040902</v>
      </c>
      <c r="E95" s="63" t="str">
        <f t="shared" si="47"/>
        <v>Stroper met Snytafel - 320kW / 429PK</v>
      </c>
      <c r="F95" s="135"/>
      <c r="G95" s="620">
        <f>MROUND(C95*((C95-INDEX(Aannames!$E$126:$E$132,MATCH(C95,Aannames!$E$126:$E$132,1)))/(INDEX(Aannames!$E$126:$E$132,MATCH(C95,Aannames!$E$126:$E$132,1)+1)-INDEX(Aannames!$E$126:$E$132,MATCH(C95,Aannames!$E$126:$E$132,1)))*INDEX(Aannames!$J$126:$J$132,MATCH(C95,Aannames!$E$126:$E$132,1)+1)
+(INDEX(Aannames!$E$126:$E$132,MATCH(C95,Aannames!$E$126:$E$132,1)+1)-C95)/(INDEX(Aannames!$E$126:$E$132,MATCH(C95,Aannames!$E$126:$E$132,1)+1)-INDEX(Aannames!$E$126:$E$132,MATCH(C95,Aannames!$E$126:$E$132,1)))*INDEX(Aannames!$J$126:$J$132,MATCH(C95,Aannames!$E$126:$E$132,1)))+Aannames!$J$139,5000)</f>
        <v>5120000</v>
      </c>
      <c r="H95" s="629">
        <v>4000</v>
      </c>
      <c r="I95" s="629">
        <v>300</v>
      </c>
      <c r="J95" s="630">
        <v>40</v>
      </c>
      <c r="K95" s="594">
        <f t="shared" si="35"/>
        <v>1152</v>
      </c>
      <c r="L95" s="594">
        <f t="shared" si="36"/>
        <v>164.25</v>
      </c>
      <c r="M95" s="600">
        <f t="shared" si="37"/>
        <v>985.6</v>
      </c>
      <c r="N95" s="601">
        <f t="shared" si="38"/>
        <v>2301.85</v>
      </c>
      <c r="O95" s="594">
        <f t="shared" si="39"/>
        <v>708.5</v>
      </c>
      <c r="P95" s="600">
        <f t="shared" si="40"/>
        <v>512</v>
      </c>
      <c r="Q95" s="631">
        <f t="shared" si="41"/>
        <v>1220.5</v>
      </c>
      <c r="R95" s="594">
        <f t="shared" si="42"/>
        <v>2813.85</v>
      </c>
      <c r="S95" s="599">
        <f t="shared" si="43"/>
        <v>3522.35</v>
      </c>
      <c r="U95" s="603">
        <f t="shared" si="44"/>
        <v>2271.77</v>
      </c>
      <c r="V95" s="599">
        <f t="shared" si="45"/>
        <v>2980.27</v>
      </c>
      <c r="X95" s="767">
        <f t="shared" si="46"/>
        <v>57.6</v>
      </c>
    </row>
    <row r="96" spans="1:24">
      <c r="A96" s="310">
        <f t="shared" si="33"/>
        <v>96</v>
      </c>
      <c r="C96" s="617">
        <f t="shared" si="48"/>
        <v>330</v>
      </c>
      <c r="D96" s="12">
        <f t="shared" si="34"/>
        <v>442.53728956635933</v>
      </c>
      <c r="E96" s="63" t="str">
        <f t="shared" si="47"/>
        <v>Stroper met Snytafel - 330kW / 443PK</v>
      </c>
      <c r="F96" s="135"/>
      <c r="G96" s="620">
        <f>MROUND(C96*((C96-INDEX(Aannames!$E$126:$E$132,MATCH(C96,Aannames!$E$126:$E$132,1)))/(INDEX(Aannames!$E$126:$E$132,MATCH(C96,Aannames!$E$126:$E$132,1)+1)-INDEX(Aannames!$E$126:$E$132,MATCH(C96,Aannames!$E$126:$E$132,1)))*INDEX(Aannames!$J$126:$J$132,MATCH(C96,Aannames!$E$126:$E$132,1)+1)
+(INDEX(Aannames!$E$126:$E$132,MATCH(C96,Aannames!$E$126:$E$132,1)+1)-C96)/(INDEX(Aannames!$E$126:$E$132,MATCH(C96,Aannames!$E$126:$E$132,1)+1)-INDEX(Aannames!$E$126:$E$132,MATCH(C96,Aannames!$E$126:$E$132,1)))*INDEX(Aannames!$J$126:$J$132,MATCH(C96,Aannames!$E$126:$E$132,1)))+Aannames!$J$139,5000)</f>
        <v>5185000</v>
      </c>
      <c r="H96" s="629">
        <v>4000</v>
      </c>
      <c r="I96" s="629">
        <v>300</v>
      </c>
      <c r="J96" s="630">
        <v>40</v>
      </c>
      <c r="K96" s="594">
        <f t="shared" si="35"/>
        <v>1166.6500000000001</v>
      </c>
      <c r="L96" s="594">
        <f t="shared" si="36"/>
        <v>166.35000000000002</v>
      </c>
      <c r="M96" s="600">
        <f t="shared" si="37"/>
        <v>998.1</v>
      </c>
      <c r="N96" s="601">
        <f t="shared" si="38"/>
        <v>2331.1</v>
      </c>
      <c r="O96" s="594">
        <f t="shared" si="39"/>
        <v>730.6</v>
      </c>
      <c r="P96" s="600">
        <f t="shared" si="40"/>
        <v>518.5</v>
      </c>
      <c r="Q96" s="631">
        <f t="shared" si="41"/>
        <v>1249.0999999999999</v>
      </c>
      <c r="R96" s="594">
        <f t="shared" si="42"/>
        <v>2849.6</v>
      </c>
      <c r="S96" s="599">
        <f t="shared" si="43"/>
        <v>3580.2</v>
      </c>
      <c r="U96" s="603">
        <f t="shared" si="44"/>
        <v>2300.645</v>
      </c>
      <c r="V96" s="599">
        <f t="shared" si="45"/>
        <v>3031.2449999999999</v>
      </c>
      <c r="X96" s="767">
        <f t="shared" si="46"/>
        <v>59.400000000000006</v>
      </c>
    </row>
    <row r="97" spans="1:24">
      <c r="A97" s="310">
        <f t="shared" si="33"/>
        <v>97</v>
      </c>
      <c r="C97" s="617">
        <f t="shared" si="48"/>
        <v>340</v>
      </c>
      <c r="D97" s="12">
        <f t="shared" si="34"/>
        <v>455.94751046230959</v>
      </c>
      <c r="E97" s="63" t="str">
        <f t="shared" si="47"/>
        <v>Stroper met Snytafel - 340kW / 456PK</v>
      </c>
      <c r="F97" s="135"/>
      <c r="G97" s="620">
        <f>MROUND(C97*((C97-INDEX(Aannames!$E$126:$E$132,MATCH(C97,Aannames!$E$126:$E$132,1)))/(INDEX(Aannames!$E$126:$E$132,MATCH(C97,Aannames!$E$126:$E$132,1)+1)-INDEX(Aannames!$E$126:$E$132,MATCH(C97,Aannames!$E$126:$E$132,1)))*INDEX(Aannames!$J$126:$J$132,MATCH(C97,Aannames!$E$126:$E$132,1)+1)
+(INDEX(Aannames!$E$126:$E$132,MATCH(C97,Aannames!$E$126:$E$132,1)+1)-C97)/(INDEX(Aannames!$E$126:$E$132,MATCH(C97,Aannames!$E$126:$E$132,1)+1)-INDEX(Aannames!$E$126:$E$132,MATCH(C97,Aannames!$E$126:$E$132,1)))*INDEX(Aannames!$J$126:$J$132,MATCH(C97,Aannames!$E$126:$E$132,1)))+Aannames!$J$139,5000)</f>
        <v>5250000</v>
      </c>
      <c r="H97" s="629">
        <v>4000</v>
      </c>
      <c r="I97" s="629">
        <v>300</v>
      </c>
      <c r="J97" s="630">
        <v>40</v>
      </c>
      <c r="K97" s="594">
        <f t="shared" si="35"/>
        <v>1181.25</v>
      </c>
      <c r="L97" s="594">
        <f t="shared" si="36"/>
        <v>168.45000000000002</v>
      </c>
      <c r="M97" s="600">
        <f t="shared" si="37"/>
        <v>1010.6500000000001</v>
      </c>
      <c r="N97" s="601">
        <f t="shared" si="38"/>
        <v>2360.3500000000004</v>
      </c>
      <c r="O97" s="594">
        <f t="shared" si="39"/>
        <v>752.75</v>
      </c>
      <c r="P97" s="600">
        <f t="shared" si="40"/>
        <v>525</v>
      </c>
      <c r="Q97" s="631">
        <f t="shared" si="41"/>
        <v>1277.75</v>
      </c>
      <c r="R97" s="594">
        <f t="shared" si="42"/>
        <v>2885.3500000000004</v>
      </c>
      <c r="S97" s="599">
        <f t="shared" si="43"/>
        <v>3638.1000000000004</v>
      </c>
      <c r="U97" s="603">
        <f t="shared" si="44"/>
        <v>2329.4925000000003</v>
      </c>
      <c r="V97" s="599">
        <f t="shared" si="45"/>
        <v>3082.2425000000003</v>
      </c>
      <c r="X97" s="767">
        <f t="shared" si="46"/>
        <v>61.2</v>
      </c>
    </row>
    <row r="98" spans="1:24">
      <c r="A98" s="310">
        <f t="shared" si="33"/>
        <v>98</v>
      </c>
      <c r="C98" s="617">
        <f t="shared" si="48"/>
        <v>350</v>
      </c>
      <c r="D98" s="12">
        <f t="shared" si="34"/>
        <v>469.35773135825985</v>
      </c>
      <c r="E98" s="63" t="str">
        <f t="shared" si="47"/>
        <v>Stroper met Snytafel - 350kW / 469PK</v>
      </c>
      <c r="F98" s="135"/>
      <c r="G98" s="620">
        <f>MROUND(C98*((C98-INDEX(Aannames!$E$126:$E$132,MATCH(C98,Aannames!$E$126:$E$132,1)))/(INDEX(Aannames!$E$126:$E$132,MATCH(C98,Aannames!$E$126:$E$132,1)+1)-INDEX(Aannames!$E$126:$E$132,MATCH(C98,Aannames!$E$126:$E$132,1)))*INDEX(Aannames!$J$126:$J$132,MATCH(C98,Aannames!$E$126:$E$132,1)+1)
+(INDEX(Aannames!$E$126:$E$132,MATCH(C98,Aannames!$E$126:$E$132,1)+1)-C98)/(INDEX(Aannames!$E$126:$E$132,MATCH(C98,Aannames!$E$126:$E$132,1)+1)-INDEX(Aannames!$E$126:$E$132,MATCH(C98,Aannames!$E$126:$E$132,1)))*INDEX(Aannames!$J$126:$J$132,MATCH(C98,Aannames!$E$126:$E$132,1)))+Aannames!$J$139,5000)</f>
        <v>5305000</v>
      </c>
      <c r="H98" s="629">
        <v>4000</v>
      </c>
      <c r="I98" s="629">
        <v>300</v>
      </c>
      <c r="J98" s="630">
        <v>40</v>
      </c>
      <c r="K98" s="594">
        <f t="shared" si="35"/>
        <v>1193.6500000000001</v>
      </c>
      <c r="L98" s="594">
        <f t="shared" si="36"/>
        <v>170.20000000000002</v>
      </c>
      <c r="M98" s="600">
        <f t="shared" si="37"/>
        <v>1021.2</v>
      </c>
      <c r="N98" s="601">
        <f t="shared" si="38"/>
        <v>2385.0500000000002</v>
      </c>
      <c r="O98" s="594">
        <f t="shared" si="39"/>
        <v>774.90000000000009</v>
      </c>
      <c r="P98" s="600">
        <f t="shared" si="40"/>
        <v>530.5</v>
      </c>
      <c r="Q98" s="631">
        <f t="shared" si="41"/>
        <v>1305.4000000000001</v>
      </c>
      <c r="R98" s="594">
        <f t="shared" si="42"/>
        <v>2915.55</v>
      </c>
      <c r="S98" s="599">
        <f t="shared" si="43"/>
        <v>3690.4500000000003</v>
      </c>
      <c r="U98" s="603">
        <f t="shared" si="44"/>
        <v>2353.8900000000003</v>
      </c>
      <c r="V98" s="599">
        <f t="shared" si="45"/>
        <v>3128.7900000000004</v>
      </c>
      <c r="X98" s="767">
        <f t="shared" si="46"/>
        <v>63</v>
      </c>
    </row>
    <row r="99" spans="1:24">
      <c r="A99" s="310">
        <f t="shared" si="33"/>
        <v>99</v>
      </c>
      <c r="C99" s="617">
        <f t="shared" si="48"/>
        <v>360</v>
      </c>
      <c r="D99" s="12">
        <f t="shared" si="34"/>
        <v>482.76795225421017</v>
      </c>
      <c r="E99" s="63" t="str">
        <f t="shared" si="47"/>
        <v>Stroper met Snytafel - 360kW / 483PK</v>
      </c>
      <c r="F99" s="135"/>
      <c r="G99" s="620">
        <f>MROUND(C99*((C99-INDEX(Aannames!$E$126:$E$132,MATCH(C99,Aannames!$E$126:$E$132,1)))/(INDEX(Aannames!$E$126:$E$132,MATCH(C99,Aannames!$E$126:$E$132,1)+1)-INDEX(Aannames!$E$126:$E$132,MATCH(C99,Aannames!$E$126:$E$132,1)))*INDEX(Aannames!$J$126:$J$132,MATCH(C99,Aannames!$E$126:$E$132,1)+1)
+(INDEX(Aannames!$E$126:$E$132,MATCH(C99,Aannames!$E$126:$E$132,1)+1)-C99)/(INDEX(Aannames!$E$126:$E$132,MATCH(C99,Aannames!$E$126:$E$132,1)+1)-INDEX(Aannames!$E$126:$E$132,MATCH(C99,Aannames!$E$126:$E$132,1)))*INDEX(Aannames!$J$126:$J$132,MATCH(C99,Aannames!$E$126:$E$132,1)))+Aannames!$J$139,5000)</f>
        <v>5360000</v>
      </c>
      <c r="H99" s="629">
        <v>4000</v>
      </c>
      <c r="I99" s="629">
        <v>300</v>
      </c>
      <c r="J99" s="630">
        <v>40</v>
      </c>
      <c r="K99" s="594">
        <f t="shared" si="35"/>
        <v>1206</v>
      </c>
      <c r="L99" s="594">
        <f t="shared" si="36"/>
        <v>171.95000000000002</v>
      </c>
      <c r="M99" s="600">
        <f t="shared" si="37"/>
        <v>1031.8</v>
      </c>
      <c r="N99" s="601">
        <f t="shared" si="38"/>
        <v>2409.75</v>
      </c>
      <c r="O99" s="594">
        <f t="shared" si="39"/>
        <v>797.05000000000007</v>
      </c>
      <c r="P99" s="600">
        <f t="shared" si="40"/>
        <v>536</v>
      </c>
      <c r="Q99" s="631">
        <f t="shared" si="41"/>
        <v>1333.0500000000002</v>
      </c>
      <c r="R99" s="594">
        <f t="shared" si="42"/>
        <v>2945.75</v>
      </c>
      <c r="S99" s="599">
        <f t="shared" si="43"/>
        <v>3742.8</v>
      </c>
      <c r="U99" s="603">
        <f t="shared" si="44"/>
        <v>2378.2600000000002</v>
      </c>
      <c r="V99" s="599">
        <f t="shared" si="45"/>
        <v>3175.3100000000004</v>
      </c>
      <c r="X99" s="767">
        <f t="shared" si="46"/>
        <v>64.8</v>
      </c>
    </row>
    <row r="100" spans="1:24">
      <c r="A100" s="310">
        <f t="shared" si="33"/>
        <v>100</v>
      </c>
      <c r="C100" s="617">
        <f t="shared" si="48"/>
        <v>370</v>
      </c>
      <c r="D100" s="12">
        <f t="shared" si="34"/>
        <v>496.17817315016043</v>
      </c>
      <c r="E100" s="63" t="str">
        <f t="shared" si="47"/>
        <v>Stroper met Snytafel - 370kW / 496PK</v>
      </c>
      <c r="F100" s="135"/>
      <c r="G100" s="620">
        <f>MROUND(C100*((C100-INDEX(Aannames!$E$126:$E$132,MATCH(C100,Aannames!$E$126:$E$132,1)))/(INDEX(Aannames!$E$126:$E$132,MATCH(C100,Aannames!$E$126:$E$132,1)+1)-INDEX(Aannames!$E$126:$E$132,MATCH(C100,Aannames!$E$126:$E$132,1)))*INDEX(Aannames!$J$126:$J$132,MATCH(C100,Aannames!$E$126:$E$132,1)+1)
+(INDEX(Aannames!$E$126:$E$132,MATCH(C100,Aannames!$E$126:$E$132,1)+1)-C100)/(INDEX(Aannames!$E$126:$E$132,MATCH(C100,Aannames!$E$126:$E$132,1)+1)-INDEX(Aannames!$E$126:$E$132,MATCH(C100,Aannames!$E$126:$E$132,1)))*INDEX(Aannames!$J$126:$J$132,MATCH(C100,Aannames!$E$126:$E$132,1)))+Aannames!$J$139,5000)</f>
        <v>5485000</v>
      </c>
      <c r="H100" s="629">
        <v>4000</v>
      </c>
      <c r="I100" s="629">
        <v>300</v>
      </c>
      <c r="J100" s="630">
        <v>40</v>
      </c>
      <c r="K100" s="594">
        <f t="shared" si="35"/>
        <v>1234.1500000000001</v>
      </c>
      <c r="L100" s="594">
        <f t="shared" si="36"/>
        <v>176</v>
      </c>
      <c r="M100" s="600">
        <f t="shared" si="37"/>
        <v>1055.8500000000001</v>
      </c>
      <c r="N100" s="601">
        <f t="shared" si="38"/>
        <v>2466</v>
      </c>
      <c r="O100" s="594">
        <f t="shared" si="39"/>
        <v>819.2</v>
      </c>
      <c r="P100" s="600">
        <f t="shared" si="40"/>
        <v>548.5</v>
      </c>
      <c r="Q100" s="631">
        <f t="shared" si="41"/>
        <v>1367.7</v>
      </c>
      <c r="R100" s="594">
        <f t="shared" si="42"/>
        <v>3014.5</v>
      </c>
      <c r="S100" s="599">
        <f t="shared" si="43"/>
        <v>3833.7</v>
      </c>
      <c r="U100" s="603">
        <f t="shared" si="44"/>
        <v>2433.7824999999998</v>
      </c>
      <c r="V100" s="599">
        <f t="shared" si="45"/>
        <v>3252.9825000000001</v>
      </c>
      <c r="X100" s="767">
        <f t="shared" si="46"/>
        <v>66.600000000000009</v>
      </c>
    </row>
    <row r="101" spans="1:24">
      <c r="A101" s="310">
        <f t="shared" si="33"/>
        <v>101</v>
      </c>
      <c r="C101" s="617">
        <f t="shared" si="48"/>
        <v>380</v>
      </c>
      <c r="D101" s="12">
        <f t="shared" si="34"/>
        <v>509.58839404611075</v>
      </c>
      <c r="E101" s="63" t="str">
        <f t="shared" si="47"/>
        <v>Stroper met Snytafel - 380kW / 510PK</v>
      </c>
      <c r="F101" s="135"/>
      <c r="G101" s="620">
        <f>MROUND(C101*((C101-INDEX(Aannames!$E$126:$E$132,MATCH(C101,Aannames!$E$126:$E$132,1)))/(INDEX(Aannames!$E$126:$E$132,MATCH(C101,Aannames!$E$126:$E$132,1)+1)-INDEX(Aannames!$E$126:$E$132,MATCH(C101,Aannames!$E$126:$E$132,1)))*INDEX(Aannames!$J$126:$J$132,MATCH(C101,Aannames!$E$126:$E$132,1)+1)
+(INDEX(Aannames!$E$126:$E$132,MATCH(C101,Aannames!$E$126:$E$132,1)+1)-C101)/(INDEX(Aannames!$E$126:$E$132,MATCH(C101,Aannames!$E$126:$E$132,1)+1)-INDEX(Aannames!$E$126:$E$132,MATCH(C101,Aannames!$E$126:$E$132,1)))*INDEX(Aannames!$J$126:$J$132,MATCH(C101,Aannames!$E$126:$E$132,1)))+Aannames!$J$139,5000)</f>
        <v>5615000</v>
      </c>
      <c r="H101" s="629">
        <v>4000</v>
      </c>
      <c r="I101" s="629">
        <v>300</v>
      </c>
      <c r="J101" s="630">
        <v>40</v>
      </c>
      <c r="K101" s="594">
        <f t="shared" si="35"/>
        <v>1263.4000000000001</v>
      </c>
      <c r="L101" s="594">
        <f t="shared" si="36"/>
        <v>180.15</v>
      </c>
      <c r="M101" s="600">
        <f t="shared" si="37"/>
        <v>1080.9000000000001</v>
      </c>
      <c r="N101" s="601">
        <f t="shared" si="38"/>
        <v>2524.4500000000003</v>
      </c>
      <c r="O101" s="594">
        <f t="shared" si="39"/>
        <v>841.30000000000007</v>
      </c>
      <c r="P101" s="600">
        <f t="shared" si="40"/>
        <v>561.5</v>
      </c>
      <c r="Q101" s="631">
        <f t="shared" si="41"/>
        <v>1402.8000000000002</v>
      </c>
      <c r="R101" s="594">
        <f t="shared" si="42"/>
        <v>3085.9500000000003</v>
      </c>
      <c r="S101" s="599">
        <f t="shared" si="43"/>
        <v>3927.2500000000005</v>
      </c>
      <c r="U101" s="603">
        <f t="shared" si="44"/>
        <v>2491.4549999999999</v>
      </c>
      <c r="V101" s="599">
        <f t="shared" si="45"/>
        <v>3332.7550000000001</v>
      </c>
      <c r="X101" s="767">
        <f t="shared" si="46"/>
        <v>68.400000000000006</v>
      </c>
    </row>
    <row r="102" spans="1:24">
      <c r="A102" s="310">
        <f t="shared" si="33"/>
        <v>102</v>
      </c>
      <c r="C102" s="617">
        <f t="shared" si="48"/>
        <v>390</v>
      </c>
      <c r="D102" s="12">
        <f t="shared" si="34"/>
        <v>522.99861494206095</v>
      </c>
      <c r="E102" s="63" t="str">
        <f t="shared" si="47"/>
        <v>Stroper met Snytafel - 390kW / 523PK</v>
      </c>
      <c r="F102" s="135"/>
      <c r="G102" s="620">
        <f>MROUND(C102*((C102-INDEX(Aannames!$E$126:$E$132,MATCH(C102,Aannames!$E$126:$E$132,1)))/(INDEX(Aannames!$E$126:$E$132,MATCH(C102,Aannames!$E$126:$E$132,1)+1)-INDEX(Aannames!$E$126:$E$132,MATCH(C102,Aannames!$E$126:$E$132,1)))*INDEX(Aannames!$J$126:$J$132,MATCH(C102,Aannames!$E$126:$E$132,1)+1)
+(INDEX(Aannames!$E$126:$E$132,MATCH(C102,Aannames!$E$126:$E$132,1)+1)-C102)/(INDEX(Aannames!$E$126:$E$132,MATCH(C102,Aannames!$E$126:$E$132,1)+1)-INDEX(Aannames!$E$126:$E$132,MATCH(C102,Aannames!$E$126:$E$132,1)))*INDEX(Aannames!$J$126:$J$132,MATCH(C102,Aannames!$E$126:$E$132,1)))+Aannames!$J$139,5000)</f>
        <v>5740000</v>
      </c>
      <c r="H102" s="629">
        <v>4000</v>
      </c>
      <c r="I102" s="629">
        <v>300</v>
      </c>
      <c r="J102" s="630">
        <v>40</v>
      </c>
      <c r="K102" s="594">
        <f t="shared" si="35"/>
        <v>1291.5</v>
      </c>
      <c r="L102" s="594">
        <f t="shared" si="36"/>
        <v>184.15</v>
      </c>
      <c r="M102" s="600">
        <f t="shared" si="37"/>
        <v>1104.95</v>
      </c>
      <c r="N102" s="601">
        <f t="shared" si="38"/>
        <v>2580.6000000000004</v>
      </c>
      <c r="O102" s="594">
        <f t="shared" si="39"/>
        <v>863.45</v>
      </c>
      <c r="P102" s="600">
        <f t="shared" si="40"/>
        <v>574</v>
      </c>
      <c r="Q102" s="631">
        <f t="shared" si="41"/>
        <v>1437.45</v>
      </c>
      <c r="R102" s="594">
        <f t="shared" si="42"/>
        <v>3154.6000000000004</v>
      </c>
      <c r="S102" s="599">
        <f t="shared" si="43"/>
        <v>4018.05</v>
      </c>
      <c r="U102" s="603">
        <f t="shared" si="44"/>
        <v>2546.8775000000005</v>
      </c>
      <c r="V102" s="599">
        <f t="shared" si="45"/>
        <v>3410.3275000000003</v>
      </c>
      <c r="X102" s="767">
        <f t="shared" si="46"/>
        <v>70.2</v>
      </c>
    </row>
    <row r="103" spans="1:24">
      <c r="A103" s="310">
        <f t="shared" si="33"/>
        <v>103</v>
      </c>
      <c r="C103" s="617">
        <f t="shared" si="48"/>
        <v>400</v>
      </c>
      <c r="D103" s="12">
        <f t="shared" si="34"/>
        <v>536.40883583801133</v>
      </c>
      <c r="E103" s="63" t="str">
        <f t="shared" si="47"/>
        <v>Stroper met Snytafel - 400kW / 536PK</v>
      </c>
      <c r="F103" s="135"/>
      <c r="G103" s="620">
        <f>MROUND(C103*((C103-INDEX(Aannames!$E$126:$E$132,MATCH(C103,Aannames!$E$126:$E$132,1)))/(INDEX(Aannames!$E$126:$E$132,MATCH(C103,Aannames!$E$126:$E$132,1)+1)-INDEX(Aannames!$E$126:$E$132,MATCH(C103,Aannames!$E$126:$E$132,1)))*INDEX(Aannames!$J$126:$J$132,MATCH(C103,Aannames!$E$126:$E$132,1)+1)
+(INDEX(Aannames!$E$126:$E$132,MATCH(C103,Aannames!$E$126:$E$132,1)+1)-C103)/(INDEX(Aannames!$E$126:$E$132,MATCH(C103,Aannames!$E$126:$E$132,1)+1)-INDEX(Aannames!$E$126:$E$132,MATCH(C103,Aannames!$E$126:$E$132,1)))*INDEX(Aannames!$J$126:$J$132,MATCH(C103,Aannames!$E$126:$E$132,1)))+Aannames!$J$139,5000)</f>
        <v>5865000</v>
      </c>
      <c r="H103" s="629">
        <v>4000</v>
      </c>
      <c r="I103" s="629">
        <v>300</v>
      </c>
      <c r="J103" s="630">
        <v>40</v>
      </c>
      <c r="K103" s="594">
        <f t="shared" si="35"/>
        <v>1319.65</v>
      </c>
      <c r="L103" s="594">
        <f t="shared" si="36"/>
        <v>188.15</v>
      </c>
      <c r="M103" s="600">
        <f t="shared" si="37"/>
        <v>1129</v>
      </c>
      <c r="N103" s="601">
        <f t="shared" si="38"/>
        <v>2636.8</v>
      </c>
      <c r="O103" s="594">
        <f t="shared" si="39"/>
        <v>885.6</v>
      </c>
      <c r="P103" s="600">
        <f t="shared" si="40"/>
        <v>586.5</v>
      </c>
      <c r="Q103" s="631">
        <f t="shared" si="41"/>
        <v>1472.1</v>
      </c>
      <c r="R103" s="594">
        <f t="shared" si="42"/>
        <v>3223.3</v>
      </c>
      <c r="S103" s="599">
        <f t="shared" si="43"/>
        <v>4108.8999999999996</v>
      </c>
      <c r="U103" s="603">
        <f t="shared" si="44"/>
        <v>2602.3500000000004</v>
      </c>
      <c r="V103" s="599">
        <f t="shared" si="45"/>
        <v>3487.9500000000003</v>
      </c>
      <c r="X103" s="767">
        <f t="shared" si="46"/>
        <v>72</v>
      </c>
    </row>
    <row r="104" spans="1:24">
      <c r="A104" s="310" t="str">
        <f t="shared" si="33"/>
        <v/>
      </c>
      <c r="C104" s="619"/>
      <c r="D104" s="35"/>
      <c r="E104" s="64"/>
      <c r="F104" s="138"/>
      <c r="G104" s="563"/>
      <c r="H104" s="636"/>
      <c r="I104" s="636"/>
      <c r="J104" s="636"/>
      <c r="K104" s="605"/>
      <c r="L104" s="605"/>
      <c r="M104" s="605"/>
      <c r="N104" s="607"/>
      <c r="O104" s="605"/>
      <c r="P104" s="605"/>
      <c r="Q104" s="605"/>
      <c r="R104" s="605"/>
      <c r="S104" s="628"/>
      <c r="U104" s="776"/>
      <c r="V104" s="628"/>
      <c r="X104" s="450"/>
    </row>
    <row r="105" spans="1:24">
      <c r="A105" s="310" t="str">
        <f t="shared" si="33"/>
        <v/>
      </c>
      <c r="B105" s="16"/>
      <c r="C105" s="2"/>
      <c r="D105" s="2"/>
      <c r="E105" s="62"/>
      <c r="F105" s="135"/>
      <c r="G105" s="2"/>
      <c r="H105" s="585"/>
      <c r="I105" s="585"/>
      <c r="J105" s="585"/>
      <c r="K105" s="585"/>
      <c r="L105" s="585"/>
      <c r="M105" s="585"/>
      <c r="N105" s="585"/>
      <c r="O105" s="585"/>
      <c r="P105" s="585"/>
      <c r="Q105" s="585"/>
      <c r="R105" s="585"/>
      <c r="S105" s="585"/>
      <c r="T105" s="16"/>
      <c r="U105" s="585"/>
      <c r="V105" s="585"/>
      <c r="W105" s="16"/>
      <c r="X105" s="5"/>
    </row>
    <row r="106" spans="1:24" ht="13.5" thickBot="1">
      <c r="A106" s="310"/>
      <c r="B106" s="266">
        <f>MAX($B$8:B105)+0.01</f>
        <v>3.0399999999999991</v>
      </c>
      <c r="C106" s="97" t="s">
        <v>1054</v>
      </c>
      <c r="D106" s="95"/>
      <c r="E106" s="95"/>
      <c r="F106" s="136"/>
      <c r="G106" s="95"/>
      <c r="H106" s="633"/>
      <c r="I106" s="633"/>
      <c r="J106" s="633"/>
      <c r="K106" s="633"/>
      <c r="L106" s="633"/>
      <c r="M106" s="633"/>
      <c r="N106" s="633"/>
      <c r="O106" s="633"/>
      <c r="P106" s="633"/>
      <c r="Q106" s="633"/>
      <c r="R106" s="633"/>
      <c r="S106" s="634"/>
      <c r="U106" s="774"/>
      <c r="V106" s="634"/>
      <c r="X106" s="451"/>
    </row>
    <row r="107" spans="1:24">
      <c r="A107" s="310" t="str">
        <f>IF(ISNUMBER(D107),ROW(),"")</f>
        <v/>
      </c>
      <c r="B107" s="16"/>
      <c r="C107" s="33"/>
      <c r="D107" s="2"/>
      <c r="E107" s="62"/>
      <c r="F107" s="135"/>
      <c r="G107" s="2"/>
      <c r="H107" s="585"/>
      <c r="I107" s="585"/>
      <c r="J107" s="585"/>
      <c r="K107" s="585"/>
      <c r="L107" s="585"/>
      <c r="M107" s="585"/>
      <c r="N107" s="585"/>
      <c r="O107" s="585"/>
      <c r="P107" s="585"/>
      <c r="Q107" s="585"/>
      <c r="R107" s="585"/>
      <c r="S107" s="625"/>
      <c r="U107" s="591"/>
      <c r="V107" s="625"/>
      <c r="X107" s="448"/>
    </row>
    <row r="108" spans="1:24">
      <c r="A108" s="310"/>
      <c r="B108" s="16"/>
      <c r="C108" s="540"/>
      <c r="D108" s="541"/>
      <c r="E108" s="861" t="s">
        <v>1119</v>
      </c>
      <c r="F108" s="861" t="s">
        <v>1121</v>
      </c>
      <c r="G108" s="789"/>
      <c r="H108" s="861" t="s">
        <v>1120</v>
      </c>
      <c r="I108" s="862"/>
      <c r="J108" s="585"/>
      <c r="K108" s="585"/>
      <c r="L108" s="585"/>
      <c r="M108" s="585"/>
      <c r="N108" s="585"/>
      <c r="O108" s="585"/>
      <c r="P108" s="585"/>
      <c r="Q108" s="585"/>
      <c r="R108" s="585"/>
      <c r="S108" s="586"/>
      <c r="U108" s="591"/>
      <c r="V108" s="586"/>
      <c r="X108" s="448"/>
    </row>
    <row r="109" spans="1:24">
      <c r="A109" s="310"/>
      <c r="B109" s="16"/>
      <c r="C109" s="33"/>
      <c r="D109" s="2"/>
      <c r="E109" s="863" t="s">
        <v>1173</v>
      </c>
      <c r="F109" s="864">
        <v>0</v>
      </c>
      <c r="G109" s="859" t="str">
        <f>"- "&amp;F110-1</f>
        <v>- 199</v>
      </c>
      <c r="H109" s="864">
        <f t="shared" ref="H109:H114" si="49">MROUND(F109*PKperKW,5)</f>
        <v>0</v>
      </c>
      <c r="I109" s="859" t="str">
        <f>"- "&amp;H110-1</f>
        <v>- 269</v>
      </c>
      <c r="J109" s="585"/>
      <c r="K109" s="585"/>
      <c r="L109" s="585"/>
      <c r="M109" s="585"/>
      <c r="N109" s="585"/>
      <c r="O109" s="585"/>
      <c r="P109" s="585"/>
      <c r="Q109" s="585"/>
      <c r="R109" s="585"/>
      <c r="S109" s="586"/>
      <c r="U109" s="591"/>
      <c r="V109" s="586"/>
      <c r="X109" s="448"/>
    </row>
    <row r="110" spans="1:24">
      <c r="A110" s="310"/>
      <c r="B110" s="16"/>
      <c r="C110" s="33"/>
      <c r="D110" s="2"/>
      <c r="E110" s="863" t="s">
        <v>1116</v>
      </c>
      <c r="F110" s="864">
        <v>200</v>
      </c>
      <c r="G110" s="859" t="str">
        <f t="shared" ref="G110:G111" si="50">"- "&amp;F111-1</f>
        <v>- 239</v>
      </c>
      <c r="H110" s="864">
        <f t="shared" si="49"/>
        <v>270</v>
      </c>
      <c r="I110" s="859" t="str">
        <f t="shared" ref="I110:I111" si="51">"- "&amp;H111-1</f>
        <v>- 319</v>
      </c>
      <c r="J110" s="585"/>
      <c r="K110" s="585"/>
      <c r="L110" s="585"/>
      <c r="M110" s="585"/>
      <c r="N110" s="585"/>
      <c r="O110" s="585"/>
      <c r="P110" s="585"/>
      <c r="Q110" s="585"/>
      <c r="R110" s="585"/>
      <c r="S110" s="586"/>
      <c r="U110" s="591"/>
      <c r="V110" s="586"/>
      <c r="X110" s="448"/>
    </row>
    <row r="111" spans="1:24">
      <c r="A111" s="310"/>
      <c r="B111" s="16"/>
      <c r="C111" s="33"/>
      <c r="D111" s="2"/>
      <c r="E111" s="863" t="s">
        <v>1117</v>
      </c>
      <c r="F111" s="865">
        <v>240</v>
      </c>
      <c r="G111" s="859" t="str">
        <f t="shared" si="50"/>
        <v>- 279</v>
      </c>
      <c r="H111" s="864">
        <f t="shared" si="49"/>
        <v>320</v>
      </c>
      <c r="I111" s="859" t="str">
        <f t="shared" si="51"/>
        <v>- 374</v>
      </c>
      <c r="J111" s="585"/>
      <c r="K111" s="585"/>
      <c r="L111" s="585"/>
      <c r="M111" s="585"/>
      <c r="N111" s="585"/>
      <c r="O111" s="585"/>
      <c r="P111" s="585"/>
      <c r="Q111" s="585"/>
      <c r="R111" s="585"/>
      <c r="S111" s="586"/>
      <c r="U111" s="591"/>
      <c r="V111" s="586"/>
      <c r="X111" s="448"/>
    </row>
    <row r="112" spans="1:24">
      <c r="A112" s="310"/>
      <c r="B112" s="16"/>
      <c r="C112" s="33"/>
      <c r="D112" s="2"/>
      <c r="E112" s="863" t="s">
        <v>1118</v>
      </c>
      <c r="F112" s="865">
        <v>280</v>
      </c>
      <c r="G112" s="859" t="str">
        <f t="shared" ref="G112:G113" si="52">"- "&amp;F113-1</f>
        <v>- 319</v>
      </c>
      <c r="H112" s="864">
        <f t="shared" si="49"/>
        <v>375</v>
      </c>
      <c r="I112" s="859" t="str">
        <f t="shared" ref="I112:I113" si="53">"- "&amp;H113-1</f>
        <v>- 429</v>
      </c>
      <c r="J112" s="585"/>
      <c r="K112" s="585"/>
      <c r="L112" s="585"/>
      <c r="M112" s="585"/>
      <c r="N112" s="585"/>
      <c r="O112" s="585"/>
      <c r="P112" s="585"/>
      <c r="Q112" s="585"/>
      <c r="R112" s="585"/>
      <c r="S112" s="586"/>
      <c r="U112" s="591"/>
      <c r="V112" s="586"/>
      <c r="X112" s="448"/>
    </row>
    <row r="113" spans="1:24">
      <c r="A113" s="310"/>
      <c r="B113" s="16"/>
      <c r="C113" s="33"/>
      <c r="D113" s="2"/>
      <c r="E113" s="863" t="s">
        <v>1229</v>
      </c>
      <c r="F113" s="865">
        <v>320</v>
      </c>
      <c r="G113" s="859" t="str">
        <f t="shared" si="52"/>
        <v>- 359</v>
      </c>
      <c r="H113" s="864">
        <f t="shared" si="49"/>
        <v>430</v>
      </c>
      <c r="I113" s="859" t="str">
        <f t="shared" si="53"/>
        <v>- 484</v>
      </c>
      <c r="J113" s="585"/>
      <c r="K113" s="585"/>
      <c r="L113" s="585"/>
      <c r="M113" s="585"/>
      <c r="N113" s="585"/>
      <c r="O113" s="585"/>
      <c r="P113" s="585"/>
      <c r="Q113" s="585"/>
      <c r="R113" s="585"/>
      <c r="S113" s="586"/>
      <c r="U113" s="591"/>
      <c r="V113" s="586"/>
      <c r="X113" s="448"/>
    </row>
    <row r="114" spans="1:24">
      <c r="A114" s="310"/>
      <c r="B114" s="16"/>
      <c r="C114" s="33"/>
      <c r="D114" s="2"/>
      <c r="E114" s="863" t="s">
        <v>1230</v>
      </c>
      <c r="F114" s="865">
        <v>360</v>
      </c>
      <c r="G114" s="859" t="s">
        <v>0</v>
      </c>
      <c r="H114" s="864">
        <f t="shared" si="49"/>
        <v>485</v>
      </c>
      <c r="I114" s="859" t="s">
        <v>0</v>
      </c>
      <c r="J114" s="585"/>
      <c r="K114" s="585"/>
      <c r="L114" s="585"/>
      <c r="M114" s="585"/>
      <c r="N114" s="585"/>
      <c r="O114" s="585"/>
      <c r="P114" s="585"/>
      <c r="Q114" s="585"/>
      <c r="R114" s="585"/>
      <c r="S114" s="586"/>
      <c r="U114" s="591"/>
      <c r="V114" s="586"/>
      <c r="X114" s="448"/>
    </row>
    <row r="115" spans="1:24">
      <c r="A115" s="310"/>
      <c r="B115" s="16"/>
      <c r="C115" s="33"/>
      <c r="D115" s="2"/>
      <c r="E115" s="188"/>
      <c r="F115" s="766"/>
      <c r="G115" s="62"/>
      <c r="H115" s="585"/>
      <c r="I115" s="585"/>
      <c r="J115" s="585"/>
      <c r="K115" s="585"/>
      <c r="L115" s="585"/>
      <c r="M115" s="585"/>
      <c r="N115" s="585"/>
      <c r="O115" s="585"/>
      <c r="P115" s="585"/>
      <c r="Q115" s="585"/>
      <c r="R115" s="585"/>
      <c r="S115" s="586"/>
      <c r="U115" s="591"/>
      <c r="V115" s="586"/>
      <c r="X115" s="448"/>
    </row>
    <row r="116" spans="1:24">
      <c r="A116" s="310"/>
      <c r="B116" s="16"/>
      <c r="C116" s="540" t="s">
        <v>44</v>
      </c>
      <c r="D116" s="541" t="s">
        <v>47</v>
      </c>
      <c r="E116" s="542" t="s">
        <v>1013</v>
      </c>
      <c r="F116" s="135"/>
      <c r="G116" s="540" t="s">
        <v>44</v>
      </c>
      <c r="H116" s="637" t="s">
        <v>47</v>
      </c>
      <c r="I116" s="638" t="s">
        <v>1013</v>
      </c>
      <c r="J116" s="585"/>
      <c r="K116" s="585"/>
      <c r="L116" s="585"/>
      <c r="M116" s="585"/>
      <c r="N116" s="639" t="s">
        <v>44</v>
      </c>
      <c r="O116" s="637" t="s">
        <v>47</v>
      </c>
      <c r="P116" s="638" t="s">
        <v>1013</v>
      </c>
      <c r="Q116" s="585"/>
      <c r="R116" s="585"/>
      <c r="S116" s="586"/>
      <c r="U116" s="591"/>
      <c r="V116" s="586"/>
      <c r="X116" s="448"/>
    </row>
    <row r="117" spans="1:24">
      <c r="A117" s="310"/>
      <c r="B117" s="16"/>
      <c r="C117" s="540"/>
      <c r="D117" s="541"/>
      <c r="E117" s="542"/>
      <c r="F117" s="135"/>
      <c r="G117" s="540"/>
      <c r="H117" s="637"/>
      <c r="I117" s="638"/>
      <c r="J117" s="585"/>
      <c r="K117" s="585"/>
      <c r="L117" s="585"/>
      <c r="M117" s="585"/>
      <c r="N117" s="639"/>
      <c r="O117" s="637"/>
      <c r="P117" s="638"/>
      <c r="Q117" s="585"/>
      <c r="R117" s="585"/>
      <c r="S117" s="586"/>
      <c r="U117" s="591"/>
      <c r="V117" s="586"/>
      <c r="X117" s="448"/>
    </row>
    <row r="118" spans="1:24">
      <c r="A118" s="310" t="str">
        <f>IF(ISNUMBER(#REF!),ROW(),"")</f>
        <v/>
      </c>
      <c r="C118" s="34">
        <v>49</v>
      </c>
      <c r="D118" s="12">
        <f t="shared" ref="D118:D142" si="54">C118*PKperKW</f>
        <v>65.710082390156387</v>
      </c>
      <c r="E118" s="63" t="s">
        <v>2</v>
      </c>
      <c r="F118" s="135"/>
      <c r="G118" s="17">
        <v>140</v>
      </c>
      <c r="H118" s="629">
        <f t="shared" ref="H118:H144" si="55">CONVERT(G118,"W","HP")*1000</f>
        <v>187.7430925433039</v>
      </c>
      <c r="I118" s="643" t="s">
        <v>397</v>
      </c>
      <c r="K118" s="597"/>
      <c r="L118" s="641"/>
      <c r="M118" s="585"/>
      <c r="N118" s="642">
        <v>230</v>
      </c>
      <c r="O118" s="629">
        <f t="shared" ref="O118:O124" si="56">CONVERT(N118,"W","HP")*1000</f>
        <v>308.43508060685645</v>
      </c>
      <c r="P118" s="640" t="s">
        <v>104</v>
      </c>
      <c r="Q118" s="587"/>
      <c r="R118" s="587"/>
      <c r="S118" s="644"/>
      <c r="U118" s="591"/>
      <c r="V118" s="644"/>
      <c r="X118" s="449"/>
    </row>
    <row r="119" spans="1:24">
      <c r="A119" s="310" t="str">
        <f>IF(ISNUMBER(#REF!),ROW(),"")</f>
        <v/>
      </c>
      <c r="C119" s="34">
        <v>55</v>
      </c>
      <c r="D119" s="12">
        <f t="shared" si="54"/>
        <v>73.756214927726546</v>
      </c>
      <c r="E119" s="63" t="s">
        <v>111</v>
      </c>
      <c r="F119" s="135"/>
      <c r="G119" s="17">
        <v>142</v>
      </c>
      <c r="H119" s="629">
        <f t="shared" si="55"/>
        <v>190.42513672249396</v>
      </c>
      <c r="I119" s="640" t="s">
        <v>18</v>
      </c>
      <c r="K119" s="597"/>
      <c r="L119" s="641"/>
      <c r="M119" s="641"/>
      <c r="N119" s="645">
        <v>239</v>
      </c>
      <c r="O119" s="629">
        <f t="shared" si="56"/>
        <v>320.50427941321169</v>
      </c>
      <c r="P119" s="176" t="s">
        <v>1111</v>
      </c>
      <c r="Q119" s="587"/>
      <c r="R119" s="587"/>
      <c r="S119" s="644"/>
      <c r="U119" s="591"/>
      <c r="V119" s="644"/>
      <c r="X119" s="449"/>
    </row>
    <row r="120" spans="1:24">
      <c r="A120" s="310" t="str">
        <f>IF(ISNUMBER(#REF!),ROW(),"")</f>
        <v/>
      </c>
      <c r="C120" s="17">
        <v>57</v>
      </c>
      <c r="D120" s="12">
        <f t="shared" si="54"/>
        <v>76.438259106916604</v>
      </c>
      <c r="E120" s="63" t="s">
        <v>3</v>
      </c>
      <c r="F120" s="135"/>
      <c r="G120" s="17">
        <v>148</v>
      </c>
      <c r="H120" s="629">
        <f t="shared" si="55"/>
        <v>198.4712692600641</v>
      </c>
      <c r="I120" s="640" t="s">
        <v>599</v>
      </c>
      <c r="J120" s="597"/>
      <c r="K120" s="597"/>
      <c r="L120" s="641"/>
      <c r="M120" s="641"/>
      <c r="N120" s="642">
        <v>240</v>
      </c>
      <c r="O120" s="629">
        <f t="shared" si="56"/>
        <v>321.84530150280671</v>
      </c>
      <c r="P120" s="643" t="s">
        <v>1092</v>
      </c>
      <c r="Q120" s="587"/>
      <c r="R120" s="587"/>
      <c r="S120" s="644"/>
      <c r="U120" s="591"/>
      <c r="V120" s="644"/>
      <c r="X120" s="449"/>
    </row>
    <row r="121" spans="1:24">
      <c r="A121" s="310" t="str">
        <f>IF(ISNUMBER(#REF!),ROW(),"")</f>
        <v/>
      </c>
      <c r="C121" s="17">
        <v>62</v>
      </c>
      <c r="D121" s="12">
        <f t="shared" si="54"/>
        <v>83.143369554891748</v>
      </c>
      <c r="E121" s="151" t="s">
        <v>910</v>
      </c>
      <c r="F121" s="135"/>
      <c r="G121" s="17">
        <v>151</v>
      </c>
      <c r="H121" s="629">
        <f t="shared" si="55"/>
        <v>202.49433552884921</v>
      </c>
      <c r="I121" s="640" t="s">
        <v>19</v>
      </c>
      <c r="J121" s="597"/>
      <c r="K121" s="597"/>
      <c r="L121" s="641"/>
      <c r="M121" s="641"/>
      <c r="N121" s="642">
        <v>251</v>
      </c>
      <c r="O121" s="629">
        <f t="shared" si="56"/>
        <v>336.59654448835204</v>
      </c>
      <c r="P121" s="640" t="s">
        <v>105</v>
      </c>
      <c r="Q121" s="587"/>
      <c r="R121" s="587"/>
      <c r="S121" s="644"/>
      <c r="U121" s="591"/>
      <c r="V121" s="644"/>
      <c r="X121" s="449"/>
    </row>
    <row r="122" spans="1:24">
      <c r="A122" s="310" t="str">
        <f>IF(ISNUMBER(#REF!),ROW(),"")</f>
        <v/>
      </c>
      <c r="C122" s="17">
        <v>64</v>
      </c>
      <c r="D122" s="12">
        <f t="shared" si="54"/>
        <v>85.825413734081806</v>
      </c>
      <c r="E122" s="63" t="s">
        <v>4</v>
      </c>
      <c r="F122" s="135"/>
      <c r="G122" s="17">
        <v>157</v>
      </c>
      <c r="H122" s="629">
        <f t="shared" si="55"/>
        <v>210.54046806641938</v>
      </c>
      <c r="I122" s="643" t="s">
        <v>1103</v>
      </c>
      <c r="J122" s="597"/>
      <c r="K122" s="597"/>
      <c r="L122" s="641"/>
      <c r="M122" s="641"/>
      <c r="N122" s="642">
        <v>343</v>
      </c>
      <c r="O122" s="629">
        <f t="shared" si="56"/>
        <v>459.97057673109452</v>
      </c>
      <c r="P122" s="643" t="s">
        <v>408</v>
      </c>
      <c r="Q122" s="587"/>
      <c r="R122" s="587"/>
      <c r="S122" s="644"/>
      <c r="U122" s="591"/>
      <c r="V122" s="644"/>
      <c r="X122" s="449"/>
    </row>
    <row r="123" spans="1:24">
      <c r="A123" s="310" t="str">
        <f>IF(ISNUMBER(#REF!),ROW(),"")</f>
        <v/>
      </c>
      <c r="C123" s="17">
        <v>74</v>
      </c>
      <c r="D123" s="12">
        <f t="shared" si="54"/>
        <v>99.235634630032095</v>
      </c>
      <c r="E123" s="151" t="s">
        <v>902</v>
      </c>
      <c r="F123" s="135"/>
      <c r="G123" s="17">
        <v>160</v>
      </c>
      <c r="H123" s="629">
        <f t="shared" si="55"/>
        <v>214.56353433520445</v>
      </c>
      <c r="I123" s="643" t="s">
        <v>1124</v>
      </c>
      <c r="J123" s="597"/>
      <c r="K123" s="597"/>
      <c r="L123" s="641"/>
      <c r="M123" s="641"/>
      <c r="N123" s="642">
        <v>260</v>
      </c>
      <c r="O123" s="629">
        <f t="shared" si="56"/>
        <v>348.66574329470723</v>
      </c>
      <c r="P123" s="643" t="s">
        <v>909</v>
      </c>
      <c r="R123" s="587"/>
      <c r="S123" s="644"/>
      <c r="T123" s="16"/>
      <c r="U123" s="591"/>
      <c r="V123" s="644"/>
      <c r="W123" s="16"/>
      <c r="X123" s="449"/>
    </row>
    <row r="124" spans="1:24">
      <c r="A124" s="310" t="str">
        <f>IF(ISNUMBER(#REF!),ROW(),"")</f>
        <v/>
      </c>
      <c r="C124" s="17">
        <v>75</v>
      </c>
      <c r="D124" s="12">
        <f t="shared" si="54"/>
        <v>100.57665671962711</v>
      </c>
      <c r="E124" s="151" t="s">
        <v>901</v>
      </c>
      <c r="F124" s="135"/>
      <c r="G124" s="17">
        <v>170</v>
      </c>
      <c r="H124" s="629">
        <f t="shared" si="55"/>
        <v>227.97375523115474</v>
      </c>
      <c r="I124" s="640" t="s">
        <v>37</v>
      </c>
      <c r="J124" s="597"/>
      <c r="K124" s="597"/>
      <c r="L124" s="641"/>
      <c r="M124" s="641"/>
      <c r="N124" s="645">
        <v>261</v>
      </c>
      <c r="O124" s="629">
        <f t="shared" si="56"/>
        <v>350.00676538430224</v>
      </c>
      <c r="P124" s="176" t="s">
        <v>1112</v>
      </c>
      <c r="Q124" s="587"/>
      <c r="R124" s="587"/>
      <c r="S124" s="644"/>
      <c r="U124" s="591"/>
      <c r="V124" s="644"/>
      <c r="X124" s="449"/>
    </row>
    <row r="125" spans="1:24">
      <c r="A125" s="310" t="str">
        <f>IF(ISNUMBER(#REF!),ROW(),"")</f>
        <v/>
      </c>
      <c r="C125" s="17">
        <v>81</v>
      </c>
      <c r="D125" s="12">
        <f t="shared" si="54"/>
        <v>108.62278925719728</v>
      </c>
      <c r="E125" s="63" t="s">
        <v>5</v>
      </c>
      <c r="F125" s="135"/>
      <c r="G125" s="17">
        <v>176</v>
      </c>
      <c r="H125" s="629">
        <f t="shared" si="55"/>
        <v>236.01988776872491</v>
      </c>
      <c r="I125" s="640" t="s">
        <v>20</v>
      </c>
      <c r="J125" s="597"/>
      <c r="K125" s="597"/>
      <c r="L125" s="641"/>
      <c r="M125" s="641"/>
      <c r="N125" s="642">
        <v>261</v>
      </c>
      <c r="O125" s="629">
        <f t="shared" ref="O125" si="57">CONVERT(N125,"W","HP")*1000</f>
        <v>350.00676538430224</v>
      </c>
      <c r="P125" s="643" t="s">
        <v>1091</v>
      </c>
      <c r="Q125" s="587"/>
      <c r="R125" s="587"/>
      <c r="S125" s="644"/>
      <c r="U125" s="591"/>
      <c r="V125" s="644"/>
      <c r="X125" s="449"/>
    </row>
    <row r="126" spans="1:24">
      <c r="A126" s="310" t="str">
        <f>IF(ISNUMBER(#REF!),ROW(),"")</f>
        <v/>
      </c>
      <c r="C126" s="17">
        <v>88</v>
      </c>
      <c r="D126" s="12">
        <f t="shared" si="54"/>
        <v>118.00994388436249</v>
      </c>
      <c r="E126" s="151" t="s">
        <v>903</v>
      </c>
      <c r="F126" s="135"/>
      <c r="G126" s="17">
        <v>177</v>
      </c>
      <c r="H126" s="629">
        <f t="shared" si="55"/>
        <v>237.36090985831993</v>
      </c>
      <c r="I126" s="640" t="s">
        <v>101</v>
      </c>
      <c r="J126" s="597"/>
      <c r="K126" s="597"/>
      <c r="L126" s="641"/>
      <c r="M126" s="641"/>
      <c r="N126" s="764">
        <v>268</v>
      </c>
      <c r="O126" s="648">
        <f>CONVERT(N126,"W","HP")*1000</f>
        <v>359.39392001146746</v>
      </c>
      <c r="P126" s="176" t="s">
        <v>1099</v>
      </c>
      <c r="Q126" s="587"/>
      <c r="R126" s="587"/>
      <c r="S126" s="644"/>
      <c r="U126" s="591"/>
      <c r="V126" s="644"/>
      <c r="X126" s="449"/>
    </row>
    <row r="127" spans="1:24">
      <c r="A127" s="310" t="str">
        <f>IF(ISNUMBER(#REF!),ROW(),"")</f>
        <v/>
      </c>
      <c r="C127" s="17">
        <v>90</v>
      </c>
      <c r="D127" s="12">
        <f t="shared" si="54"/>
        <v>120.69198806355254</v>
      </c>
      <c r="E127" s="63" t="s">
        <v>6</v>
      </c>
      <c r="F127" s="135"/>
      <c r="G127" s="17">
        <v>180</v>
      </c>
      <c r="H127" s="629">
        <f t="shared" si="55"/>
        <v>241.38397612710503</v>
      </c>
      <c r="I127" s="640" t="s">
        <v>102</v>
      </c>
      <c r="J127" s="597"/>
      <c r="K127" s="597"/>
      <c r="L127" s="641"/>
      <c r="M127" s="641"/>
      <c r="N127" s="642">
        <v>269</v>
      </c>
      <c r="O127" s="629">
        <f t="shared" ref="O127" si="58">CONVERT(N127,"W","HP")*1000</f>
        <v>360.73494210106247</v>
      </c>
      <c r="P127" s="643" t="s">
        <v>1094</v>
      </c>
      <c r="Q127" s="587"/>
      <c r="R127" s="587"/>
      <c r="S127" s="644"/>
      <c r="U127" s="591"/>
      <c r="V127" s="644"/>
      <c r="X127" s="449"/>
    </row>
    <row r="128" spans="1:24">
      <c r="A128" s="310" t="str">
        <f>IF(ISNUMBER(#REF!),ROW(),"")</f>
        <v/>
      </c>
      <c r="C128" s="17">
        <v>91</v>
      </c>
      <c r="D128" s="12">
        <f t="shared" si="54"/>
        <v>122.03301015314757</v>
      </c>
      <c r="E128" s="63" t="s">
        <v>173</v>
      </c>
      <c r="F128" s="135"/>
      <c r="G128" s="17">
        <v>184</v>
      </c>
      <c r="H128" s="629">
        <f t="shared" si="55"/>
        <v>246.74806448548514</v>
      </c>
      <c r="I128" s="640" t="s">
        <v>21</v>
      </c>
      <c r="J128" s="597"/>
      <c r="K128" s="597"/>
      <c r="L128" s="641"/>
      <c r="M128" s="641"/>
      <c r="N128" s="642">
        <v>273</v>
      </c>
      <c r="O128" s="629">
        <f>CONVERT(N128,"W","HP")*1000</f>
        <v>366.09903045944259</v>
      </c>
      <c r="P128" s="643" t="s">
        <v>396</v>
      </c>
      <c r="R128" s="587"/>
      <c r="S128" s="644"/>
      <c r="U128" s="591"/>
      <c r="V128" s="644"/>
      <c r="X128" s="449"/>
    </row>
    <row r="129" spans="1:24">
      <c r="A129" s="310" t="str">
        <f>IF(ISNUMBER(#REF!),ROW(),"")</f>
        <v/>
      </c>
      <c r="C129" s="17">
        <v>92</v>
      </c>
      <c r="D129" s="12">
        <f t="shared" si="54"/>
        <v>123.3740322427426</v>
      </c>
      <c r="E129" s="151" t="s">
        <v>911</v>
      </c>
      <c r="F129" s="135"/>
      <c r="G129" s="17">
        <v>185</v>
      </c>
      <c r="H129" s="629">
        <f t="shared" si="55"/>
        <v>248.08908657508016</v>
      </c>
      <c r="I129" s="640" t="s">
        <v>22</v>
      </c>
      <c r="J129" s="597"/>
      <c r="K129" s="597"/>
      <c r="L129" s="641"/>
      <c r="M129" s="641"/>
      <c r="N129" s="642">
        <v>274</v>
      </c>
      <c r="O129" s="629">
        <f>CONVERT(N129,"W","HP")*1000</f>
        <v>367.44005254903766</v>
      </c>
      <c r="P129" s="643" t="s">
        <v>106</v>
      </c>
      <c r="Q129" s="587"/>
      <c r="R129" s="587"/>
      <c r="S129" s="644"/>
      <c r="U129" s="591"/>
      <c r="V129" s="644"/>
      <c r="X129" s="449"/>
    </row>
    <row r="130" spans="1:24">
      <c r="A130" s="310" t="str">
        <f>IF(ISNUMBER(#REF!),ROW(),"")</f>
        <v/>
      </c>
      <c r="C130" s="17">
        <v>93</v>
      </c>
      <c r="D130" s="12">
        <f t="shared" si="54"/>
        <v>124.71505433233763</v>
      </c>
      <c r="E130" s="63" t="s">
        <v>7</v>
      </c>
      <c r="F130" s="135"/>
      <c r="G130" s="17">
        <v>186</v>
      </c>
      <c r="H130" s="629">
        <f t="shared" si="55"/>
        <v>249.43010866467517</v>
      </c>
      <c r="I130" s="643" t="s">
        <v>907</v>
      </c>
      <c r="J130" s="597"/>
      <c r="K130" s="597"/>
      <c r="L130" s="641"/>
      <c r="M130" s="641"/>
      <c r="N130" s="645">
        <v>284</v>
      </c>
      <c r="O130" s="629">
        <f>CONVERT(N130,"W","HP")*1000</f>
        <v>380.85027344498792</v>
      </c>
      <c r="P130" s="176" t="s">
        <v>1113</v>
      </c>
      <c r="Q130" s="587"/>
      <c r="R130" s="587"/>
      <c r="S130" s="644"/>
      <c r="U130" s="591"/>
      <c r="V130" s="644"/>
      <c r="X130" s="449"/>
    </row>
    <row r="131" spans="1:24">
      <c r="A131" s="310" t="str">
        <f>IF(ISNUMBER(#REF!),ROW(),"")</f>
        <v/>
      </c>
      <c r="C131" s="17">
        <v>95</v>
      </c>
      <c r="D131" s="12">
        <f t="shared" si="54"/>
        <v>127.39709851152769</v>
      </c>
      <c r="E131" s="63" t="s">
        <v>8</v>
      </c>
      <c r="F131" s="135"/>
      <c r="G131" s="17">
        <v>190</v>
      </c>
      <c r="H131" s="629">
        <f t="shared" si="55"/>
        <v>254.79419702305529</v>
      </c>
      <c r="I131" s="643" t="s">
        <v>249</v>
      </c>
      <c r="J131" s="597"/>
      <c r="K131" s="597"/>
      <c r="L131" s="641"/>
      <c r="M131" s="641"/>
      <c r="N131" s="642">
        <v>292</v>
      </c>
      <c r="O131" s="629">
        <f t="shared" ref="O131" si="59">CONVERT(N131,"W","HP")*1000</f>
        <v>391.57845016174815</v>
      </c>
      <c r="P131" s="152" t="s">
        <v>1108</v>
      </c>
      <c r="Q131" s="587"/>
      <c r="R131" s="587"/>
      <c r="S131" s="644"/>
      <c r="U131" s="591"/>
      <c r="V131" s="644"/>
      <c r="X131" s="449"/>
    </row>
    <row r="132" spans="1:24">
      <c r="A132" s="310" t="str">
        <f>IF(ISNUMBER(#REF!),ROW(),"")</f>
        <v/>
      </c>
      <c r="C132" s="17">
        <v>103</v>
      </c>
      <c r="D132" s="12">
        <f t="shared" si="54"/>
        <v>138.1252752282879</v>
      </c>
      <c r="E132" s="151" t="s">
        <v>904</v>
      </c>
      <c r="F132" s="135"/>
      <c r="G132" s="17">
        <v>191</v>
      </c>
      <c r="H132" s="629">
        <f t="shared" si="55"/>
        <v>256.1352191126503</v>
      </c>
      <c r="I132" s="643" t="s">
        <v>397</v>
      </c>
      <c r="J132" s="597"/>
      <c r="K132" s="597"/>
      <c r="L132" s="641"/>
      <c r="M132" s="641"/>
      <c r="N132" s="642">
        <v>297</v>
      </c>
      <c r="O132" s="629">
        <f t="shared" ref="O132" si="60">CONVERT(N132,"W","HP")*1000</f>
        <v>398.28356060972328</v>
      </c>
      <c r="P132" s="152" t="s">
        <v>1109</v>
      </c>
      <c r="Q132" s="587"/>
      <c r="R132" s="587"/>
      <c r="S132" s="644"/>
      <c r="U132" s="591"/>
      <c r="V132" s="644"/>
      <c r="X132" s="449"/>
    </row>
    <row r="133" spans="1:24">
      <c r="A133" s="310" t="str">
        <f>IF(ISNUMBER(#REF!),ROW(),"")</f>
        <v/>
      </c>
      <c r="C133" s="17">
        <v>110</v>
      </c>
      <c r="D133" s="12">
        <f t="shared" si="54"/>
        <v>147.51242985545309</v>
      </c>
      <c r="E133" s="151" t="s">
        <v>905</v>
      </c>
      <c r="F133" s="135"/>
      <c r="G133" s="17">
        <v>193</v>
      </c>
      <c r="H133" s="629">
        <f t="shared" si="55"/>
        <v>258.81726329184039</v>
      </c>
      <c r="I133" s="640" t="s">
        <v>23</v>
      </c>
      <c r="J133" s="597"/>
      <c r="K133" s="597"/>
      <c r="L133" s="641"/>
      <c r="M133" s="641"/>
      <c r="N133" s="764">
        <v>313</v>
      </c>
      <c r="O133" s="648">
        <f>CONVERT(N133,"W","HP")*1000</f>
        <v>419.73991404324374</v>
      </c>
      <c r="P133" s="176" t="s">
        <v>1100</v>
      </c>
      <c r="Q133" s="587"/>
      <c r="R133" s="587"/>
      <c r="S133" s="644"/>
      <c r="U133" s="591"/>
      <c r="V133" s="644"/>
      <c r="X133" s="449"/>
    </row>
    <row r="134" spans="1:24">
      <c r="A134" s="310" t="str">
        <f>IF(ISNUMBER(#REF!),ROW(),"")</f>
        <v/>
      </c>
      <c r="C134" s="17">
        <v>110</v>
      </c>
      <c r="D134" s="12">
        <f t="shared" si="54"/>
        <v>147.51242985545309</v>
      </c>
      <c r="E134" s="63" t="s">
        <v>9</v>
      </c>
      <c r="F134" s="135"/>
      <c r="G134" s="17">
        <v>196</v>
      </c>
      <c r="H134" s="629">
        <f t="shared" si="55"/>
        <v>262.84032956062549</v>
      </c>
      <c r="I134" s="643" t="s">
        <v>247</v>
      </c>
      <c r="J134" s="597"/>
      <c r="K134" s="597"/>
      <c r="L134" s="641"/>
      <c r="M134" s="641"/>
      <c r="N134" s="642">
        <v>316</v>
      </c>
      <c r="O134" s="629">
        <f>CONVERT(N134,"W","HP")*1000</f>
        <v>423.76298031202879</v>
      </c>
      <c r="P134" s="640" t="s">
        <v>107</v>
      </c>
      <c r="Q134" s="587"/>
      <c r="R134" s="587"/>
      <c r="S134" s="644"/>
      <c r="U134" s="591"/>
      <c r="V134" s="644"/>
      <c r="X134" s="449"/>
    </row>
    <row r="135" spans="1:24">
      <c r="A135" s="310" t="str">
        <f>IF(ISNUMBER(#REF!),ROW(),"")</f>
        <v/>
      </c>
      <c r="C135" s="17">
        <v>115</v>
      </c>
      <c r="D135" s="12">
        <f t="shared" si="54"/>
        <v>154.21754030342825</v>
      </c>
      <c r="E135" s="63" t="s">
        <v>10</v>
      </c>
      <c r="F135" s="135"/>
      <c r="G135" s="645">
        <v>198</v>
      </c>
      <c r="H135" s="629">
        <f t="shared" si="55"/>
        <v>265.52237373981552</v>
      </c>
      <c r="I135" s="176" t="s">
        <v>1110</v>
      </c>
      <c r="J135" s="597"/>
      <c r="K135" s="597"/>
      <c r="L135" s="641"/>
      <c r="M135" s="641"/>
      <c r="N135" s="642">
        <v>319</v>
      </c>
      <c r="O135" s="629">
        <f>CONVERT(N135,"W","HP")*1000</f>
        <v>427.78604658081389</v>
      </c>
      <c r="P135" s="640" t="s">
        <v>108</v>
      </c>
      <c r="Q135" s="587"/>
      <c r="R135" s="587"/>
      <c r="S135" s="644"/>
      <c r="U135" s="591"/>
      <c r="V135" s="644"/>
      <c r="X135" s="449"/>
    </row>
    <row r="136" spans="1:24">
      <c r="A136" s="310" t="str">
        <f>IF(ISNUMBER(#REF!),ROW(),"")</f>
        <v/>
      </c>
      <c r="C136" s="17">
        <v>118</v>
      </c>
      <c r="D136" s="12">
        <f t="shared" si="54"/>
        <v>158.24060657221332</v>
      </c>
      <c r="E136" s="63" t="s">
        <v>11</v>
      </c>
      <c r="F136" s="135"/>
      <c r="G136" s="17">
        <v>199</v>
      </c>
      <c r="H136" s="629">
        <f t="shared" si="55"/>
        <v>266.86339582941054</v>
      </c>
      <c r="I136" s="640" t="s">
        <v>103</v>
      </c>
      <c r="J136" s="597"/>
      <c r="K136" s="597"/>
      <c r="L136" s="641"/>
      <c r="M136" s="641"/>
      <c r="N136" s="645">
        <v>336</v>
      </c>
      <c r="O136" s="629">
        <f>CONVERT(N136,"W","HP")*1000</f>
        <v>450.58342210392937</v>
      </c>
      <c r="P136" s="176" t="s">
        <v>1114</v>
      </c>
      <c r="Q136" s="597"/>
      <c r="R136" s="587"/>
      <c r="S136" s="644"/>
      <c r="U136" s="591"/>
      <c r="V136" s="644"/>
      <c r="X136" s="449"/>
    </row>
    <row r="137" spans="1:24">
      <c r="A137" s="310" t="str">
        <f>IF(ISNUMBER(#REF!),ROW(),"")</f>
        <v/>
      </c>
      <c r="C137" s="17">
        <v>119</v>
      </c>
      <c r="D137" s="12">
        <f t="shared" si="54"/>
        <v>159.58162866180837</v>
      </c>
      <c r="E137" s="63" t="s">
        <v>12</v>
      </c>
      <c r="F137" s="135"/>
      <c r="G137" s="17">
        <v>200</v>
      </c>
      <c r="H137" s="629">
        <f t="shared" si="55"/>
        <v>268.20441791900555</v>
      </c>
      <c r="I137" s="640" t="s">
        <v>110</v>
      </c>
      <c r="J137" s="597"/>
      <c r="K137" s="597"/>
      <c r="L137" s="641"/>
      <c r="M137" s="641"/>
      <c r="N137" s="642">
        <v>343</v>
      </c>
      <c r="O137" s="629">
        <f t="shared" ref="O137:O138" si="61">CONVERT(N137,"W","HP")*1000</f>
        <v>459.97057673109452</v>
      </c>
      <c r="P137" s="643" t="s">
        <v>939</v>
      </c>
      <c r="Q137" s="597"/>
      <c r="R137" s="587"/>
      <c r="S137" s="644"/>
      <c r="U137" s="591"/>
      <c r="V137" s="644"/>
      <c r="X137" s="449"/>
    </row>
    <row r="138" spans="1:24">
      <c r="A138" s="310" t="str">
        <f>IF(ISNUMBER(#REF!),ROW(),"")</f>
        <v/>
      </c>
      <c r="C138" s="17">
        <v>125</v>
      </c>
      <c r="D138" s="12">
        <f t="shared" si="54"/>
        <v>167.62776119937854</v>
      </c>
      <c r="E138" s="63" t="s">
        <v>13</v>
      </c>
      <c r="F138" s="135"/>
      <c r="G138" s="17">
        <v>204</v>
      </c>
      <c r="H138" s="629">
        <f t="shared" si="55"/>
        <v>273.56850627738572</v>
      </c>
      <c r="I138" s="643" t="s">
        <v>944</v>
      </c>
      <c r="J138" s="597"/>
      <c r="K138" s="597"/>
      <c r="L138" s="641"/>
      <c r="M138" s="641"/>
      <c r="N138" s="642">
        <v>350</v>
      </c>
      <c r="O138" s="629">
        <f t="shared" si="61"/>
        <v>469.35773135825974</v>
      </c>
      <c r="P138" s="640" t="s">
        <v>109</v>
      </c>
      <c r="Q138" s="597"/>
      <c r="R138" s="587"/>
      <c r="S138" s="644"/>
      <c r="U138" s="591"/>
      <c r="V138" s="644"/>
      <c r="X138" s="449"/>
    </row>
    <row r="139" spans="1:24">
      <c r="A139" s="310" t="str">
        <f>IF(ISNUMBER(#REF!),ROW(),"")</f>
        <v/>
      </c>
      <c r="C139" s="17">
        <v>127</v>
      </c>
      <c r="D139" s="12">
        <f t="shared" si="54"/>
        <v>170.3098053785686</v>
      </c>
      <c r="E139" s="63" t="s">
        <v>14</v>
      </c>
      <c r="F139" s="135"/>
      <c r="G139" s="17">
        <v>207</v>
      </c>
      <c r="H139" s="629">
        <f t="shared" si="55"/>
        <v>277.59157254617077</v>
      </c>
      <c r="I139" s="643" t="s">
        <v>908</v>
      </c>
      <c r="J139" s="597"/>
      <c r="K139" s="597"/>
      <c r="L139" s="641"/>
      <c r="M139" s="641"/>
      <c r="N139" s="764">
        <v>360</v>
      </c>
      <c r="O139" s="648">
        <f>CONVERT(N139,"W","HP")*1000</f>
        <v>482.76795225421006</v>
      </c>
      <c r="P139" s="176" t="s">
        <v>1101</v>
      </c>
      <c r="Q139" s="597"/>
      <c r="R139" s="587"/>
      <c r="S139" s="644"/>
      <c r="U139" s="591"/>
      <c r="V139" s="644"/>
      <c r="X139" s="449"/>
    </row>
    <row r="140" spans="1:24">
      <c r="A140" s="310" t="str">
        <f>IF(ISNUMBER(#REF!),ROW(),"")</f>
        <v/>
      </c>
      <c r="C140" s="17">
        <v>128</v>
      </c>
      <c r="D140" s="12">
        <f t="shared" si="54"/>
        <v>171.65082746816361</v>
      </c>
      <c r="E140" s="63" t="s">
        <v>15</v>
      </c>
      <c r="F140" s="135"/>
      <c r="G140" s="17">
        <v>213</v>
      </c>
      <c r="H140" s="629">
        <f t="shared" si="55"/>
        <v>285.63770508374091</v>
      </c>
      <c r="I140" s="643" t="s">
        <v>248</v>
      </c>
      <c r="J140" s="597"/>
      <c r="K140" s="597"/>
      <c r="L140" s="641"/>
      <c r="M140" s="641"/>
      <c r="N140" s="645">
        <v>370</v>
      </c>
      <c r="O140" s="629">
        <f>CONVERT(N140,"W","HP")*1000</f>
        <v>496.17817315016032</v>
      </c>
      <c r="P140" s="643" t="s">
        <v>409</v>
      </c>
      <c r="Q140" s="597"/>
      <c r="R140" s="587"/>
      <c r="S140" s="644"/>
      <c r="U140" s="591"/>
      <c r="V140" s="644"/>
      <c r="X140" s="449"/>
    </row>
    <row r="141" spans="1:24">
      <c r="A141" s="310" t="str">
        <f>IF(ISNUMBER(#REF!),ROW(),"")</f>
        <v/>
      </c>
      <c r="C141" s="17">
        <v>130</v>
      </c>
      <c r="D141" s="12">
        <f t="shared" si="54"/>
        <v>174.33287164735367</v>
      </c>
      <c r="E141" s="151" t="s">
        <v>906</v>
      </c>
      <c r="F141" s="135"/>
      <c r="G141" s="17">
        <v>216</v>
      </c>
      <c r="H141" s="629">
        <f t="shared" si="55"/>
        <v>289.66077135252607</v>
      </c>
      <c r="I141" s="643" t="s">
        <v>1106</v>
      </c>
      <c r="J141" s="597"/>
      <c r="K141" s="597"/>
      <c r="L141" s="641"/>
      <c r="M141" s="641"/>
      <c r="N141" s="645">
        <v>373</v>
      </c>
      <c r="O141" s="629">
        <f>CONVERT(N141,"W","HP")*1000</f>
        <v>500.20123941894548</v>
      </c>
      <c r="P141" s="176" t="s">
        <v>1115</v>
      </c>
      <c r="Q141" s="597"/>
      <c r="R141" s="587"/>
      <c r="S141" s="644"/>
      <c r="U141" s="591"/>
      <c r="V141" s="644"/>
      <c r="X141" s="449"/>
    </row>
    <row r="142" spans="1:24">
      <c r="A142" s="310" t="str">
        <f>IF(ISNUMBER(#REF!),ROW(),"")</f>
        <v/>
      </c>
      <c r="C142" s="17">
        <v>132</v>
      </c>
      <c r="D142" s="12">
        <f t="shared" si="54"/>
        <v>177.01491582654373</v>
      </c>
      <c r="E142" s="151" t="s">
        <v>912</v>
      </c>
      <c r="F142" s="135"/>
      <c r="G142" s="17">
        <v>222</v>
      </c>
      <c r="H142" s="629">
        <f t="shared" si="55"/>
        <v>297.70690389009621</v>
      </c>
      <c r="I142" s="640" t="s">
        <v>24</v>
      </c>
      <c r="J142" s="69"/>
      <c r="K142" s="69"/>
      <c r="L142" s="641"/>
      <c r="M142" s="641"/>
      <c r="N142" s="645">
        <v>377</v>
      </c>
      <c r="O142" s="629">
        <f>CONVERT(N142,"W","HP")*1000</f>
        <v>505.56532777732554</v>
      </c>
      <c r="P142" s="643" t="s">
        <v>1107</v>
      </c>
      <c r="Q142" s="597"/>
      <c r="R142" s="587"/>
      <c r="S142" s="644"/>
      <c r="U142" s="591"/>
      <c r="V142" s="644"/>
      <c r="X142" s="449"/>
    </row>
    <row r="143" spans="1:24">
      <c r="A143" s="310"/>
      <c r="C143" s="17">
        <v>134</v>
      </c>
      <c r="D143" s="629">
        <f>CONVERT(C143,"W","HP")*1000</f>
        <v>179.69696000573373</v>
      </c>
      <c r="E143" s="640" t="s">
        <v>16</v>
      </c>
      <c r="F143" s="69"/>
      <c r="G143" s="642">
        <v>227</v>
      </c>
      <c r="H143" s="629">
        <f t="shared" si="55"/>
        <v>304.41201433807134</v>
      </c>
      <c r="I143" s="643" t="s">
        <v>246</v>
      </c>
      <c r="J143" s="69"/>
      <c r="K143" s="69"/>
      <c r="L143" s="641"/>
      <c r="M143" s="641"/>
      <c r="N143" s="645">
        <v>433</v>
      </c>
      <c r="O143" s="629">
        <f t="shared" ref="O143" si="62">CONVERT(N143,"W","HP")*1000</f>
        <v>580.6625647946471</v>
      </c>
      <c r="P143" s="176" t="s">
        <v>1105</v>
      </c>
      <c r="Q143" s="597"/>
      <c r="R143" s="587"/>
      <c r="S143" s="644"/>
      <c r="U143" s="591"/>
      <c r="V143" s="644"/>
      <c r="X143" s="449"/>
    </row>
    <row r="144" spans="1:24">
      <c r="A144" s="310"/>
      <c r="C144" s="17">
        <v>137</v>
      </c>
      <c r="D144" s="629">
        <f>CONVERT(C144,"W","HP")*1000</f>
        <v>183.72002627451883</v>
      </c>
      <c r="E144" s="640" t="s">
        <v>17</v>
      </c>
      <c r="F144" s="69"/>
      <c r="G144" s="642">
        <v>227</v>
      </c>
      <c r="H144" s="629">
        <f t="shared" si="55"/>
        <v>304.41201433807134</v>
      </c>
      <c r="I144" s="643" t="s">
        <v>938</v>
      </c>
      <c r="J144" s="69"/>
      <c r="K144" s="69"/>
      <c r="L144" s="641"/>
      <c r="M144" s="641"/>
      <c r="N144" s="629"/>
      <c r="O144" s="629"/>
      <c r="P144" s="176"/>
      <c r="Q144" s="597"/>
      <c r="R144" s="587"/>
      <c r="S144" s="644"/>
      <c r="U144" s="591"/>
      <c r="V144" s="644"/>
      <c r="X144" s="449"/>
    </row>
    <row r="145" spans="1:26">
      <c r="A145" s="310" t="str">
        <f t="shared" ref="A145:A146" si="63">IF(ISNUMBER(G145),ROW(),"")</f>
        <v/>
      </c>
      <c r="C145" s="38"/>
      <c r="D145" s="35"/>
      <c r="E145" s="64"/>
      <c r="F145" s="138"/>
      <c r="G145" s="36"/>
      <c r="H145" s="636"/>
      <c r="I145" s="636"/>
      <c r="J145" s="636"/>
      <c r="K145" s="605"/>
      <c r="L145" s="605"/>
      <c r="M145" s="605"/>
      <c r="N145" s="607"/>
      <c r="O145" s="605"/>
      <c r="P145" s="605"/>
      <c r="Q145" s="605"/>
      <c r="R145" s="605"/>
      <c r="S145" s="628"/>
      <c r="U145" s="776"/>
      <c r="V145" s="628"/>
      <c r="X145" s="450"/>
    </row>
    <row r="146" spans="1:26">
      <c r="A146" s="310" t="str">
        <f t="shared" si="63"/>
        <v/>
      </c>
      <c r="B146" s="16"/>
      <c r="C146" s="2"/>
      <c r="D146" s="2"/>
      <c r="E146" s="188" t="s">
        <v>1236</v>
      </c>
      <c r="F146" s="135"/>
      <c r="G146" s="939" t="s">
        <v>1237</v>
      </c>
      <c r="H146" s="175"/>
      <c r="I146" s="910" t="s">
        <v>1238</v>
      </c>
      <c r="J146" s="175"/>
      <c r="K146" s="585"/>
      <c r="L146" s="910" t="s">
        <v>1239</v>
      </c>
      <c r="M146" s="585"/>
      <c r="N146" s="585"/>
      <c r="O146" s="910" t="s">
        <v>1307</v>
      </c>
      <c r="P146" s="585"/>
      <c r="Q146" s="585"/>
      <c r="R146" s="585"/>
      <c r="S146" s="585"/>
      <c r="T146" s="16"/>
      <c r="U146" s="585"/>
      <c r="V146" s="585"/>
      <c r="W146" s="16"/>
      <c r="X146" s="5"/>
    </row>
    <row r="147" spans="1:26">
      <c r="A147" s="310"/>
      <c r="B147" s="16"/>
      <c r="C147" s="2"/>
      <c r="D147" s="2"/>
      <c r="E147" s="62"/>
      <c r="F147" s="135"/>
      <c r="G147" s="153"/>
      <c r="H147" s="175"/>
      <c r="I147" s="175"/>
      <c r="J147" s="175"/>
      <c r="K147" s="585"/>
      <c r="L147" s="585"/>
      <c r="M147" s="585"/>
      <c r="N147" s="69"/>
      <c r="O147" s="69"/>
      <c r="P147" s="69"/>
      <c r="Q147" s="585"/>
      <c r="R147" s="585"/>
      <c r="S147" s="585"/>
      <c r="T147" s="16"/>
      <c r="U147" s="585"/>
      <c r="V147" s="585"/>
      <c r="W147" s="16"/>
      <c r="X147" s="5"/>
    </row>
    <row r="148" spans="1:26" hidden="1">
      <c r="A148" s="310"/>
      <c r="B148" s="16"/>
      <c r="C148" s="2"/>
      <c r="D148" s="2"/>
      <c r="E148" s="62"/>
      <c r="F148" s="135"/>
      <c r="G148" s="2"/>
      <c r="H148" s="585"/>
      <c r="I148" s="585"/>
      <c r="J148" s="585"/>
      <c r="K148" s="585"/>
      <c r="L148" s="585"/>
      <c r="M148" s="585"/>
      <c r="N148" s="69"/>
      <c r="O148" s="69"/>
      <c r="P148" s="69"/>
      <c r="Q148" s="585"/>
      <c r="R148" s="585"/>
      <c r="S148" s="585"/>
      <c r="T148" s="16"/>
      <c r="U148" s="585"/>
      <c r="V148" s="585"/>
      <c r="W148" s="16"/>
      <c r="X148" s="5"/>
    </row>
    <row r="149" spans="1:26" hidden="1">
      <c r="A149" s="310"/>
      <c r="B149" s="16"/>
      <c r="C149" s="2"/>
      <c r="D149" s="2"/>
      <c r="E149" s="62"/>
      <c r="F149" s="135"/>
      <c r="G149" s="2"/>
      <c r="H149" s="585"/>
      <c r="I149" s="585"/>
      <c r="J149" s="585"/>
      <c r="K149" s="585"/>
      <c r="L149" s="585"/>
      <c r="M149" s="585"/>
      <c r="N149" s="69"/>
      <c r="O149" s="69"/>
      <c r="P149" s="69"/>
      <c r="Q149" s="585"/>
      <c r="R149" s="585"/>
      <c r="S149" s="585"/>
      <c r="T149" s="16"/>
      <c r="U149" s="585"/>
      <c r="V149" s="585"/>
      <c r="W149" s="16"/>
      <c r="X149" s="5"/>
    </row>
    <row r="150" spans="1:26" hidden="1">
      <c r="A150" s="310"/>
      <c r="B150" s="16"/>
      <c r="C150" s="2"/>
      <c r="D150" s="2"/>
      <c r="E150" s="62"/>
      <c r="F150" s="135"/>
      <c r="G150" s="2"/>
      <c r="H150" s="585"/>
      <c r="I150" s="585"/>
      <c r="J150" s="585"/>
      <c r="K150" s="585"/>
      <c r="L150" s="585"/>
      <c r="M150" s="585"/>
      <c r="N150" s="69"/>
      <c r="O150" s="69"/>
      <c r="P150" s="69"/>
      <c r="Q150" s="585"/>
      <c r="R150" s="585"/>
      <c r="S150" s="585"/>
      <c r="T150" s="16"/>
      <c r="U150" s="585"/>
      <c r="V150" s="585"/>
      <c r="W150" s="16"/>
      <c r="X150" s="5"/>
    </row>
    <row r="151" spans="1:26" hidden="1">
      <c r="A151" s="310"/>
      <c r="B151" s="16"/>
      <c r="C151" s="2"/>
      <c r="D151" s="2"/>
      <c r="E151" s="62"/>
      <c r="F151" s="135"/>
      <c r="G151" s="2"/>
      <c r="H151" s="585"/>
      <c r="I151" s="585"/>
      <c r="J151" s="585"/>
      <c r="K151" s="585"/>
      <c r="L151" s="585"/>
      <c r="M151" s="585"/>
      <c r="N151" s="69"/>
      <c r="O151" s="69"/>
      <c r="P151" s="69"/>
      <c r="Q151" s="585"/>
      <c r="R151" s="585"/>
      <c r="S151" s="585"/>
      <c r="T151" s="16"/>
      <c r="U151" s="585"/>
      <c r="V151" s="585"/>
      <c r="W151" s="16"/>
      <c r="X151" s="5"/>
    </row>
    <row r="152" spans="1:26" hidden="1">
      <c r="A152" s="310"/>
      <c r="B152" s="16"/>
      <c r="C152" s="2"/>
      <c r="D152" s="2"/>
      <c r="E152" s="62"/>
      <c r="F152" s="135"/>
      <c r="G152" s="2"/>
      <c r="H152" s="585"/>
      <c r="I152" s="585"/>
      <c r="J152" s="585"/>
      <c r="K152" s="585"/>
      <c r="L152" s="585"/>
      <c r="M152" s="585"/>
      <c r="N152" s="69"/>
      <c r="O152" s="69"/>
      <c r="P152" s="69"/>
      <c r="Q152" s="585"/>
      <c r="R152" s="585"/>
      <c r="S152" s="585"/>
      <c r="T152" s="16"/>
      <c r="U152" s="585"/>
      <c r="V152" s="585"/>
      <c r="W152" s="16"/>
      <c r="X152" s="5"/>
    </row>
    <row r="153" spans="1:26" hidden="1">
      <c r="A153" s="310"/>
      <c r="B153" s="16"/>
      <c r="C153" s="2"/>
      <c r="D153" s="2"/>
      <c r="E153" s="62"/>
      <c r="F153" s="135"/>
      <c r="G153" s="2"/>
      <c r="H153" s="585"/>
      <c r="I153" s="585"/>
      <c r="J153" s="585"/>
      <c r="K153" s="585"/>
      <c r="L153" s="585"/>
      <c r="M153" s="585"/>
      <c r="N153" s="585"/>
      <c r="O153" s="585"/>
      <c r="P153" s="176"/>
      <c r="Q153" s="585"/>
      <c r="R153" s="585"/>
      <c r="S153" s="585"/>
      <c r="T153" s="16"/>
      <c r="U153" s="585"/>
      <c r="V153" s="585"/>
      <c r="W153" s="16"/>
      <c r="X153" s="5"/>
    </row>
    <row r="154" spans="1:26" hidden="1">
      <c r="A154" s="310"/>
      <c r="B154" s="16"/>
      <c r="C154" s="2"/>
      <c r="D154" s="2"/>
      <c r="E154" s="62"/>
      <c r="F154" s="135"/>
      <c r="G154" s="2"/>
      <c r="H154" s="585"/>
      <c r="I154" s="585"/>
      <c r="J154" s="585"/>
      <c r="K154" s="585"/>
      <c r="L154" s="585"/>
      <c r="M154" s="585"/>
      <c r="N154" s="585"/>
      <c r="O154" s="585"/>
      <c r="P154" s="176"/>
      <c r="Q154" s="585"/>
      <c r="R154" s="585"/>
      <c r="S154" s="585"/>
      <c r="T154" s="16"/>
      <c r="U154" s="585"/>
      <c r="V154" s="585"/>
      <c r="W154" s="16"/>
      <c r="X154" s="5"/>
    </row>
    <row r="155" spans="1:26" hidden="1">
      <c r="A155" s="310"/>
      <c r="B155" s="16"/>
      <c r="C155" s="2"/>
      <c r="D155" s="2"/>
      <c r="E155" s="62"/>
      <c r="F155" s="135"/>
      <c r="G155" s="2"/>
      <c r="H155" s="585"/>
      <c r="I155" s="585"/>
      <c r="J155" s="585"/>
      <c r="K155" s="585"/>
      <c r="L155" s="585"/>
      <c r="M155" s="585"/>
      <c r="N155" s="585"/>
      <c r="O155" s="585"/>
      <c r="P155" s="176"/>
      <c r="Q155" s="585"/>
      <c r="R155" s="585"/>
      <c r="S155" s="585"/>
      <c r="T155" s="16"/>
      <c r="U155" s="585"/>
      <c r="V155" s="585"/>
      <c r="W155" s="16"/>
      <c r="X155" s="5"/>
    </row>
    <row r="156" spans="1:26" hidden="1">
      <c r="A156" s="310"/>
      <c r="B156" s="16"/>
      <c r="C156" s="2"/>
      <c r="D156" s="2"/>
      <c r="E156" s="62"/>
      <c r="F156" s="135"/>
      <c r="G156" s="2"/>
      <c r="H156" s="585"/>
      <c r="I156" s="585"/>
      <c r="J156" s="585"/>
      <c r="K156" s="585"/>
      <c r="L156" s="585"/>
      <c r="M156" s="585"/>
      <c r="N156" s="585"/>
      <c r="O156" s="585"/>
      <c r="P156" s="585"/>
      <c r="Q156" s="585"/>
      <c r="R156" s="585"/>
      <c r="S156" s="585"/>
      <c r="T156" s="16"/>
      <c r="U156" s="585"/>
      <c r="V156" s="585"/>
      <c r="W156" s="16"/>
      <c r="X156" s="5"/>
    </row>
    <row r="157" spans="1:26">
      <c r="A157" s="149"/>
      <c r="B157" s="16"/>
      <c r="C157" s="2"/>
      <c r="D157" s="2"/>
      <c r="E157" s="62"/>
      <c r="F157" s="135"/>
      <c r="G157" s="2"/>
      <c r="H157" s="585"/>
      <c r="I157" s="585"/>
      <c r="J157" s="585"/>
      <c r="K157" s="585"/>
      <c r="L157" s="585"/>
      <c r="M157" s="585"/>
      <c r="N157" s="585"/>
      <c r="O157" s="585"/>
      <c r="P157" s="585"/>
      <c r="Q157" s="585"/>
      <c r="R157" s="585"/>
      <c r="S157" s="585"/>
      <c r="T157" s="16"/>
      <c r="U157" s="585"/>
      <c r="V157" s="585"/>
      <c r="W157" s="16"/>
      <c r="X157" s="5"/>
    </row>
    <row r="158" spans="1:26" s="454" customFormat="1" ht="23.25" customHeight="1" thickBot="1">
      <c r="A158" s="177"/>
      <c r="B158" s="287">
        <f>ROUNDDOWN(MAX($B$8:B157),0)+1</f>
        <v>4</v>
      </c>
      <c r="C158" s="294" t="s">
        <v>118</v>
      </c>
      <c r="D158" s="295"/>
      <c r="E158" s="296"/>
      <c r="F158" s="297"/>
      <c r="G158" s="297"/>
      <c r="H158" s="297"/>
      <c r="I158" s="298"/>
      <c r="J158" s="298"/>
      <c r="K158" s="298"/>
      <c r="L158" s="298"/>
      <c r="M158" s="298"/>
      <c r="N158" s="298"/>
      <c r="O158" s="298"/>
      <c r="P158" s="298"/>
      <c r="Q158" s="298"/>
      <c r="R158" s="298"/>
      <c r="S158" s="299"/>
      <c r="T158" s="178"/>
      <c r="U158" s="777"/>
      <c r="V158" s="299"/>
      <c r="W158" s="178"/>
      <c r="X158" s="179"/>
      <c r="Y158" s="180"/>
      <c r="Z158" s="180"/>
    </row>
    <row r="159" spans="1:26">
      <c r="A159" s="149"/>
      <c r="B159" s="16"/>
      <c r="C159" s="2"/>
      <c r="D159" s="2"/>
      <c r="E159" s="2"/>
      <c r="F159" s="2"/>
      <c r="G159" s="2"/>
      <c r="H159" s="585"/>
      <c r="I159" s="585"/>
      <c r="J159" s="585"/>
      <c r="K159" s="585"/>
      <c r="L159" s="585"/>
      <c r="M159" s="585"/>
      <c r="N159" s="585"/>
      <c r="O159" s="585"/>
      <c r="P159" s="585"/>
      <c r="Q159" s="597"/>
      <c r="R159" s="632"/>
      <c r="S159" s="632"/>
      <c r="T159" s="16"/>
      <c r="U159" s="632"/>
      <c r="V159" s="632"/>
      <c r="W159" s="16"/>
      <c r="X159" s="78"/>
      <c r="Y159" s="79"/>
      <c r="Z159" s="194"/>
    </row>
    <row r="160" spans="1:26" ht="13.5" thickBot="1">
      <c r="A160" s="130" t="str">
        <f t="shared" si="32"/>
        <v/>
      </c>
      <c r="B160" s="266">
        <f>MAX($B$8:B159)+0.01</f>
        <v>4.01</v>
      </c>
      <c r="C160" s="97" t="s">
        <v>118</v>
      </c>
      <c r="D160" s="95"/>
      <c r="E160" s="95"/>
      <c r="F160" s="136"/>
      <c r="G160" s="95"/>
      <c r="H160" s="633"/>
      <c r="I160" s="633"/>
      <c r="J160" s="633"/>
      <c r="K160" s="633"/>
      <c r="L160" s="633"/>
      <c r="M160" s="633"/>
      <c r="N160" s="633"/>
      <c r="O160" s="633"/>
      <c r="P160" s="633"/>
      <c r="Q160" s="633"/>
      <c r="R160" s="633"/>
      <c r="S160" s="634"/>
      <c r="U160" s="774"/>
      <c r="V160" s="634"/>
      <c r="X160" s="451"/>
    </row>
    <row r="161" spans="1:24">
      <c r="A161" s="130" t="str">
        <f t="shared" si="32"/>
        <v/>
      </c>
      <c r="B161" s="16"/>
      <c r="C161" s="668"/>
      <c r="D161" s="2"/>
      <c r="E161" s="62"/>
      <c r="F161" s="135"/>
      <c r="G161" s="557"/>
      <c r="H161" s="585"/>
      <c r="I161" s="585"/>
      <c r="J161" s="585"/>
      <c r="K161" s="585"/>
      <c r="L161" s="585"/>
      <c r="M161" s="585"/>
      <c r="N161" s="585"/>
      <c r="O161" s="585"/>
      <c r="P161" s="585"/>
      <c r="Q161" s="585"/>
      <c r="R161" s="585"/>
      <c r="S161" s="635"/>
      <c r="U161" s="591"/>
      <c r="V161" s="635"/>
      <c r="X161" s="448"/>
    </row>
    <row r="162" spans="1:24">
      <c r="A162" s="310" t="str">
        <f t="shared" ref="A162:A168" si="64">IF(ISNUMBER(G162),ROW(),"")</f>
        <v/>
      </c>
      <c r="C162" s="669" t="s">
        <v>879</v>
      </c>
      <c r="D162" s="12"/>
      <c r="E162" s="63"/>
      <c r="F162" s="135"/>
      <c r="G162" s="557"/>
      <c r="H162" s="585"/>
      <c r="I162" s="646"/>
      <c r="J162" s="646"/>
      <c r="K162" s="647"/>
      <c r="L162" s="594"/>
      <c r="M162" s="594"/>
      <c r="N162" s="596"/>
      <c r="O162" s="594"/>
      <c r="P162" s="594"/>
      <c r="Q162" s="596"/>
      <c r="R162" s="596"/>
      <c r="S162" s="601"/>
      <c r="U162" s="775">
        <v>1</v>
      </c>
      <c r="V162" s="704" t="s">
        <v>50</v>
      </c>
      <c r="X162" s="448"/>
    </row>
    <row r="163" spans="1:24">
      <c r="A163" s="310"/>
      <c r="C163" s="669"/>
      <c r="D163" s="12"/>
      <c r="E163" s="12"/>
      <c r="F163" s="135"/>
      <c r="G163" s="557"/>
      <c r="H163" s="585"/>
      <c r="I163" s="646"/>
      <c r="J163" s="646"/>
      <c r="K163" s="647"/>
      <c r="L163" s="594"/>
      <c r="M163" s="594"/>
      <c r="N163" s="596"/>
      <c r="O163" s="594"/>
      <c r="P163" s="594"/>
      <c r="Q163" s="596"/>
      <c r="R163" s="596"/>
      <c r="S163" s="601"/>
      <c r="U163" s="778"/>
      <c r="V163" s="601"/>
      <c r="X163" s="448"/>
    </row>
    <row r="164" spans="1:24">
      <c r="A164" s="310">
        <f t="shared" si="64"/>
        <v>164</v>
      </c>
      <c r="C164" s="675">
        <v>75</v>
      </c>
      <c r="D164" s="182">
        <f t="shared" ref="D164:D170" si="65">C164*PKperKW</f>
        <v>100.57665671962711</v>
      </c>
      <c r="E164" s="151" t="str">
        <f>"SL Platsnyer sonder tafel "&amp;ROUND(C164,0)&amp;"kW / "&amp;ROUND(D164,0)&amp;"PK"</f>
        <v>SL Platsnyer sonder tafel 75kW / 101PK</v>
      </c>
      <c r="F164" s="536" t="s">
        <v>172</v>
      </c>
      <c r="G164" s="678">
        <f>MROUND(C164*VLOOKUP(C164,Aannames!$E$146:$K$148,COLUMNS(Aannames!$E$145:$J$145),TRUE),5000)</f>
        <v>1055000</v>
      </c>
      <c r="H164" s="648">
        <v>5000</v>
      </c>
      <c r="I164" s="648">
        <v>250</v>
      </c>
      <c r="J164" s="649">
        <v>80</v>
      </c>
      <c r="K164" s="594">
        <f t="shared" ref="K164:K170" si="66">MROUND($G164*(1-$F$256/100)/H164,0.05)</f>
        <v>189.9</v>
      </c>
      <c r="L164" s="594">
        <f t="shared" ref="L164:L170" si="67">MROUND($G164*(1+$F$256/100)/2*$G$263/100/I164,0.05)</f>
        <v>40.6</v>
      </c>
      <c r="M164" s="600">
        <f t="shared" ref="M164:M170" si="68">MROUND($G164*(1+$F$256/100)/2*$F$257/100/I164,0.05)</f>
        <v>243.70000000000002</v>
      </c>
      <c r="N164" s="601">
        <f t="shared" ref="N164:N170" si="69">SUM(K164:M164)</f>
        <v>474.20000000000005</v>
      </c>
      <c r="O164" s="594">
        <f t="shared" ref="O164:O170" si="70">MROUND(IF(ISNUMBER(C164),$C164*$K$268*$F$258,0),0.05)</f>
        <v>166.05</v>
      </c>
      <c r="P164" s="600">
        <f t="shared" ref="P164:P170" si="71">MROUND($G164*J164/100/H164,0.05)</f>
        <v>168.8</v>
      </c>
      <c r="Q164" s="631">
        <f t="shared" ref="Q164:Q170" si="72">SUM(O164:P164)</f>
        <v>334.85</v>
      </c>
      <c r="R164" s="594">
        <f t="shared" ref="R164:R170" si="73">N164+P164</f>
        <v>643</v>
      </c>
      <c r="S164" s="599">
        <f t="shared" ref="S164:S170" si="74">N164+Q164</f>
        <v>809.05000000000007</v>
      </c>
      <c r="U164" s="603">
        <f>R164-M164*(1-U$162)</f>
        <v>643</v>
      </c>
      <c r="V164" s="599">
        <f t="shared" ref="V164" si="75">U164+O164</f>
        <v>809.05</v>
      </c>
      <c r="X164" s="767">
        <f t="shared" ref="X164:X170" si="76">MROUND(IF(ISNUMBER(C164),$C164*$K$268,0),0.05)</f>
        <v>13.5</v>
      </c>
    </row>
    <row r="165" spans="1:24">
      <c r="A165" s="310">
        <f t="shared" ref="A165" si="77">IF(ISNUMBER(G165),ROW(),"")</f>
        <v>165</v>
      </c>
      <c r="C165" s="675">
        <v>90</v>
      </c>
      <c r="D165" s="182">
        <f t="shared" si="65"/>
        <v>120.69198806355254</v>
      </c>
      <c r="E165" s="151" t="str">
        <f t="shared" ref="E165:E169" si="78">"SL Platsnyer sonder tafel "&amp;ROUND(C165,0)&amp;"kW / "&amp;ROUND(D165,0)&amp;"PK"</f>
        <v>SL Platsnyer sonder tafel 90kW / 121PK</v>
      </c>
      <c r="F165" s="536" t="s">
        <v>172</v>
      </c>
      <c r="G165" s="678">
        <f>MROUND(C165*VLOOKUP(C165,Aannames!$E$146:$K$148,COLUMNS(Aannames!$E$145:$J$145),TRUE),5000)</f>
        <v>1265000</v>
      </c>
      <c r="H165" s="648">
        <v>5000</v>
      </c>
      <c r="I165" s="648">
        <v>250</v>
      </c>
      <c r="J165" s="649">
        <v>80</v>
      </c>
      <c r="K165" s="594">
        <f t="shared" si="66"/>
        <v>227.70000000000002</v>
      </c>
      <c r="L165" s="594">
        <f t="shared" si="67"/>
        <v>48.7</v>
      </c>
      <c r="M165" s="600">
        <f t="shared" si="68"/>
        <v>292.2</v>
      </c>
      <c r="N165" s="601">
        <f t="shared" si="69"/>
        <v>568.6</v>
      </c>
      <c r="O165" s="594">
        <f t="shared" si="70"/>
        <v>199.25</v>
      </c>
      <c r="P165" s="600">
        <f t="shared" si="71"/>
        <v>202.4</v>
      </c>
      <c r="Q165" s="631">
        <f t="shared" si="72"/>
        <v>401.65</v>
      </c>
      <c r="R165" s="594">
        <f t="shared" si="73"/>
        <v>771</v>
      </c>
      <c r="S165" s="599">
        <f t="shared" si="74"/>
        <v>970.25</v>
      </c>
      <c r="U165" s="603">
        <f t="shared" ref="U165:U170" si="79">R165-M165*(1-U$162)</f>
        <v>771</v>
      </c>
      <c r="V165" s="599">
        <f t="shared" ref="V165:V170" si="80">U165+O165</f>
        <v>970.25</v>
      </c>
      <c r="X165" s="767">
        <f t="shared" si="76"/>
        <v>16.2</v>
      </c>
    </row>
    <row r="166" spans="1:24">
      <c r="A166" s="310">
        <f t="shared" si="64"/>
        <v>166</v>
      </c>
      <c r="C166" s="675">
        <v>100</v>
      </c>
      <c r="D166" s="182">
        <f t="shared" si="65"/>
        <v>134.10220895950283</v>
      </c>
      <c r="E166" s="151" t="str">
        <f t="shared" si="78"/>
        <v>SL Platsnyer sonder tafel 100kW / 134PK</v>
      </c>
      <c r="F166" s="536" t="s">
        <v>172</v>
      </c>
      <c r="G166" s="678">
        <f>MROUND(C166*VLOOKUP(C166,Aannames!$E$146:$K$148,COLUMNS(Aannames!$E$145:$J$145),TRUE),5000)</f>
        <v>1275000</v>
      </c>
      <c r="H166" s="648">
        <v>5000</v>
      </c>
      <c r="I166" s="648">
        <v>250</v>
      </c>
      <c r="J166" s="649">
        <v>80</v>
      </c>
      <c r="K166" s="594">
        <f t="shared" si="66"/>
        <v>229.5</v>
      </c>
      <c r="L166" s="594">
        <f t="shared" si="67"/>
        <v>49.1</v>
      </c>
      <c r="M166" s="600">
        <f t="shared" si="68"/>
        <v>294.5</v>
      </c>
      <c r="N166" s="601">
        <f t="shared" si="69"/>
        <v>573.1</v>
      </c>
      <c r="O166" s="594">
        <f t="shared" si="70"/>
        <v>221.4</v>
      </c>
      <c r="P166" s="600">
        <f t="shared" si="71"/>
        <v>204</v>
      </c>
      <c r="Q166" s="631">
        <f t="shared" si="72"/>
        <v>425.4</v>
      </c>
      <c r="R166" s="594">
        <f t="shared" si="73"/>
        <v>777.1</v>
      </c>
      <c r="S166" s="599">
        <f t="shared" si="74"/>
        <v>998.5</v>
      </c>
      <c r="U166" s="603">
        <f t="shared" si="79"/>
        <v>777.1</v>
      </c>
      <c r="V166" s="599">
        <f t="shared" si="80"/>
        <v>998.5</v>
      </c>
      <c r="X166" s="767">
        <f t="shared" si="76"/>
        <v>18</v>
      </c>
    </row>
    <row r="167" spans="1:24">
      <c r="A167" s="310">
        <f t="shared" si="64"/>
        <v>167</v>
      </c>
      <c r="C167" s="675">
        <v>110</v>
      </c>
      <c r="D167" s="182">
        <f t="shared" si="65"/>
        <v>147.51242985545309</v>
      </c>
      <c r="E167" s="151" t="str">
        <f t="shared" si="78"/>
        <v>SL Platsnyer sonder tafel 110kW / 148PK</v>
      </c>
      <c r="F167" s="536" t="s">
        <v>172</v>
      </c>
      <c r="G167" s="678">
        <f>MROUND(C167*VLOOKUP(C167,Aannames!$E$146:$K$148,COLUMNS(Aannames!$E$145:$J$145),TRUE),5000)</f>
        <v>1405000</v>
      </c>
      <c r="H167" s="648">
        <v>5000</v>
      </c>
      <c r="I167" s="648">
        <v>250</v>
      </c>
      <c r="J167" s="649">
        <v>80</v>
      </c>
      <c r="K167" s="594">
        <f t="shared" si="66"/>
        <v>252.9</v>
      </c>
      <c r="L167" s="594">
        <f t="shared" si="67"/>
        <v>54.1</v>
      </c>
      <c r="M167" s="600">
        <f t="shared" si="68"/>
        <v>324.55</v>
      </c>
      <c r="N167" s="601">
        <f t="shared" si="69"/>
        <v>631.54999999999995</v>
      </c>
      <c r="O167" s="594">
        <f t="shared" si="70"/>
        <v>243.55</v>
      </c>
      <c r="P167" s="600">
        <f t="shared" si="71"/>
        <v>224.8</v>
      </c>
      <c r="Q167" s="631">
        <f t="shared" si="72"/>
        <v>468.35</v>
      </c>
      <c r="R167" s="594">
        <f t="shared" si="73"/>
        <v>856.34999999999991</v>
      </c>
      <c r="S167" s="599">
        <f t="shared" si="74"/>
        <v>1099.9000000000001</v>
      </c>
      <c r="U167" s="603">
        <f t="shared" si="79"/>
        <v>856.34999999999991</v>
      </c>
      <c r="V167" s="599">
        <f t="shared" si="80"/>
        <v>1099.8999999999999</v>
      </c>
      <c r="X167" s="767">
        <f t="shared" si="76"/>
        <v>19.8</v>
      </c>
    </row>
    <row r="168" spans="1:24">
      <c r="A168" s="310">
        <f t="shared" si="64"/>
        <v>168</v>
      </c>
      <c r="C168" s="675">
        <v>125</v>
      </c>
      <c r="D168" s="182">
        <f t="shared" si="65"/>
        <v>167.62776119937854</v>
      </c>
      <c r="E168" s="151" t="str">
        <f t="shared" si="78"/>
        <v>SL Platsnyer sonder tafel 125kW / 168PK</v>
      </c>
      <c r="F168" s="536" t="s">
        <v>172</v>
      </c>
      <c r="G168" s="678">
        <f>MROUND(C168*VLOOKUP(C168,Aannames!$E$146:$K$148,COLUMNS(Aannames!$E$145:$J$145),TRUE),5000)</f>
        <v>1595000</v>
      </c>
      <c r="H168" s="648">
        <v>5000</v>
      </c>
      <c r="I168" s="648">
        <v>250</v>
      </c>
      <c r="J168" s="649">
        <v>80</v>
      </c>
      <c r="K168" s="594">
        <f t="shared" si="66"/>
        <v>287.10000000000002</v>
      </c>
      <c r="L168" s="594">
        <f t="shared" si="67"/>
        <v>61.400000000000006</v>
      </c>
      <c r="M168" s="600">
        <f t="shared" si="68"/>
        <v>368.45000000000005</v>
      </c>
      <c r="N168" s="601">
        <f t="shared" si="69"/>
        <v>716.95</v>
      </c>
      <c r="O168" s="594">
        <f t="shared" si="70"/>
        <v>276.75</v>
      </c>
      <c r="P168" s="600">
        <f t="shared" si="71"/>
        <v>255.20000000000002</v>
      </c>
      <c r="Q168" s="631">
        <f t="shared" si="72"/>
        <v>531.95000000000005</v>
      </c>
      <c r="R168" s="594">
        <f t="shared" si="73"/>
        <v>972.15000000000009</v>
      </c>
      <c r="S168" s="599">
        <f t="shared" si="74"/>
        <v>1248.9000000000001</v>
      </c>
      <c r="U168" s="603">
        <f t="shared" si="79"/>
        <v>972.15000000000009</v>
      </c>
      <c r="V168" s="599">
        <f t="shared" si="80"/>
        <v>1248.9000000000001</v>
      </c>
      <c r="X168" s="767">
        <f t="shared" si="76"/>
        <v>22.5</v>
      </c>
    </row>
    <row r="169" spans="1:24">
      <c r="A169" s="310">
        <f t="shared" ref="A169" si="81">IF(ISNUMBER(G169),ROW(),"")</f>
        <v>169</v>
      </c>
      <c r="C169" s="675">
        <v>150</v>
      </c>
      <c r="D169" s="182">
        <f t="shared" si="65"/>
        <v>201.15331343925422</v>
      </c>
      <c r="E169" s="151" t="str">
        <f t="shared" si="78"/>
        <v>SL Platsnyer sonder tafel 150kW / 201PK</v>
      </c>
      <c r="F169" s="536" t="s">
        <v>172</v>
      </c>
      <c r="G169" s="678">
        <f>MROUND(C169*VLOOKUP(C169,Aannames!$E$146:$K$148,COLUMNS(Aannames!$E$145:$J$145),TRUE),5000)</f>
        <v>1725000</v>
      </c>
      <c r="H169" s="648">
        <v>5000</v>
      </c>
      <c r="I169" s="648">
        <v>250</v>
      </c>
      <c r="J169" s="649">
        <v>80</v>
      </c>
      <c r="K169" s="594">
        <f t="shared" si="66"/>
        <v>310.5</v>
      </c>
      <c r="L169" s="594">
        <f t="shared" si="67"/>
        <v>66.400000000000006</v>
      </c>
      <c r="M169" s="600">
        <f t="shared" si="68"/>
        <v>398.5</v>
      </c>
      <c r="N169" s="601">
        <f t="shared" si="69"/>
        <v>775.4</v>
      </c>
      <c r="O169" s="594">
        <f t="shared" si="70"/>
        <v>332.1</v>
      </c>
      <c r="P169" s="600">
        <f t="shared" si="71"/>
        <v>276</v>
      </c>
      <c r="Q169" s="631">
        <f t="shared" si="72"/>
        <v>608.1</v>
      </c>
      <c r="R169" s="594">
        <f t="shared" si="73"/>
        <v>1051.4000000000001</v>
      </c>
      <c r="S169" s="599">
        <f t="shared" si="74"/>
        <v>1383.5</v>
      </c>
      <c r="U169" s="603">
        <f t="shared" si="79"/>
        <v>1051.4000000000001</v>
      </c>
      <c r="V169" s="599">
        <f t="shared" si="80"/>
        <v>1383.5</v>
      </c>
      <c r="X169" s="767">
        <f t="shared" si="76"/>
        <v>27</v>
      </c>
    </row>
    <row r="170" spans="1:24">
      <c r="A170" s="310">
        <f t="shared" ref="A170" si="82">IF(ISNUMBER(G170),ROW(),"")</f>
        <v>170</v>
      </c>
      <c r="C170" s="675">
        <v>175</v>
      </c>
      <c r="D170" s="182">
        <f t="shared" si="65"/>
        <v>234.67886567912993</v>
      </c>
      <c r="E170" s="151" t="str">
        <f t="shared" ref="E170" si="83">"SL Platsnyer sonder tafel "&amp;ROUND(C170,0)&amp;"kW / "&amp;ROUND(D170,0)&amp;"PK"</f>
        <v>SL Platsnyer sonder tafel 175kW / 235PK</v>
      </c>
      <c r="F170" s="536" t="s">
        <v>172</v>
      </c>
      <c r="G170" s="678">
        <f>MROUND(C170*VLOOKUP(C170,Aannames!$E$146:$K$148,COLUMNS(Aannames!$E$145:$J$145),TRUE),5000)</f>
        <v>2015000</v>
      </c>
      <c r="H170" s="648">
        <v>5000</v>
      </c>
      <c r="I170" s="648">
        <v>250</v>
      </c>
      <c r="J170" s="649">
        <v>80</v>
      </c>
      <c r="K170" s="594">
        <f t="shared" si="66"/>
        <v>362.70000000000005</v>
      </c>
      <c r="L170" s="594">
        <f t="shared" si="67"/>
        <v>77.600000000000009</v>
      </c>
      <c r="M170" s="600">
        <f t="shared" si="68"/>
        <v>465.45000000000005</v>
      </c>
      <c r="N170" s="601">
        <f t="shared" si="69"/>
        <v>905.75000000000011</v>
      </c>
      <c r="O170" s="594">
        <f t="shared" si="70"/>
        <v>387.45000000000005</v>
      </c>
      <c r="P170" s="600">
        <f t="shared" si="71"/>
        <v>322.40000000000003</v>
      </c>
      <c r="Q170" s="631">
        <f t="shared" si="72"/>
        <v>709.85000000000014</v>
      </c>
      <c r="R170" s="594">
        <f t="shared" si="73"/>
        <v>1228.1500000000001</v>
      </c>
      <c r="S170" s="599">
        <f t="shared" si="74"/>
        <v>1615.6000000000004</v>
      </c>
      <c r="U170" s="603">
        <f t="shared" si="79"/>
        <v>1228.1500000000001</v>
      </c>
      <c r="V170" s="599">
        <f t="shared" si="80"/>
        <v>1615.6000000000001</v>
      </c>
      <c r="X170" s="767">
        <f t="shared" si="76"/>
        <v>31.5</v>
      </c>
    </row>
    <row r="171" spans="1:24">
      <c r="A171" s="310"/>
      <c r="C171" s="617"/>
      <c r="D171" s="12"/>
      <c r="E171" s="151"/>
      <c r="F171" s="135"/>
      <c r="G171" s="790"/>
      <c r="H171" s="629"/>
      <c r="I171" s="629"/>
      <c r="J171" s="629"/>
      <c r="K171" s="594"/>
      <c r="L171" s="594"/>
      <c r="M171" s="594"/>
      <c r="N171" s="596"/>
      <c r="O171" s="594"/>
      <c r="P171" s="594"/>
      <c r="Q171" s="596"/>
      <c r="R171" s="594"/>
      <c r="S171" s="601"/>
      <c r="U171" s="603"/>
      <c r="V171" s="601"/>
      <c r="X171" s="448"/>
    </row>
    <row r="172" spans="1:24">
      <c r="A172" s="130" t="str">
        <f>IF(ISNUMBER(G172),ROW(),"")</f>
        <v/>
      </c>
      <c r="C172" s="669" t="s">
        <v>170</v>
      </c>
      <c r="D172" s="12"/>
      <c r="E172" s="63"/>
      <c r="F172" s="135"/>
      <c r="G172" s="839"/>
      <c r="H172" s="646"/>
      <c r="I172" s="646"/>
      <c r="J172" s="646"/>
      <c r="K172" s="598"/>
      <c r="L172" s="594"/>
      <c r="M172" s="594"/>
      <c r="N172" s="596"/>
      <c r="O172" s="594"/>
      <c r="P172" s="594"/>
      <c r="Q172" s="596"/>
      <c r="R172" s="596"/>
      <c r="S172" s="601"/>
      <c r="U172" s="778"/>
      <c r="V172" s="601"/>
      <c r="X172" s="448"/>
    </row>
    <row r="173" spans="1:24">
      <c r="A173" s="310"/>
      <c r="C173" s="671"/>
      <c r="D173" s="12"/>
      <c r="E173" s="63"/>
      <c r="F173" s="135"/>
      <c r="G173" s="839"/>
      <c r="H173" s="646"/>
      <c r="I173" s="646"/>
      <c r="J173" s="646"/>
      <c r="K173" s="594"/>
      <c r="L173" s="594"/>
      <c r="M173" s="594"/>
      <c r="N173" s="596"/>
      <c r="O173" s="594"/>
      <c r="P173" s="594"/>
      <c r="Q173" s="596"/>
      <c r="R173" s="596"/>
      <c r="S173" s="601"/>
      <c r="U173" s="778"/>
      <c r="V173" s="601"/>
      <c r="X173" s="448"/>
    </row>
    <row r="174" spans="1:24">
      <c r="A174" s="267">
        <f t="shared" ref="A174" si="84">IF(ISNUMBER(G174),ROW(),"")</f>
        <v>174</v>
      </c>
      <c r="C174" s="672"/>
      <c r="D174" s="12"/>
      <c r="E174" s="151" t="s">
        <v>486</v>
      </c>
      <c r="F174" s="940">
        <f>16*MeterPerVoet</f>
        <v>4.8768000000000002</v>
      </c>
      <c r="G174" s="678">
        <v>580000</v>
      </c>
      <c r="H174" s="648">
        <v>3750</v>
      </c>
      <c r="I174" s="648">
        <v>200</v>
      </c>
      <c r="J174" s="649">
        <v>80</v>
      </c>
      <c r="K174" s="594">
        <f t="shared" ref="K174:K179" si="85">MROUND($G174*(1-$F$256/100)/H174,0.05)</f>
        <v>139.20000000000002</v>
      </c>
      <c r="L174" s="594">
        <f t="shared" ref="L174:L179" si="86">MROUND($G174*(1+$F$256/100)/2*$G$263/100/I174,0.05)</f>
        <v>27.900000000000002</v>
      </c>
      <c r="M174" s="600">
        <f t="shared" ref="M174:M179" si="87">MROUND($G174*(1+$F$256/100)/2*$F$257/100/I174,0.05)</f>
        <v>167.45000000000002</v>
      </c>
      <c r="N174" s="601">
        <f t="shared" ref="N174:N179" si="88">SUM(K174:M174)</f>
        <v>334.55000000000007</v>
      </c>
      <c r="O174" s="594">
        <f t="shared" ref="O174:O179" si="89">MROUND(IF(ISNUMBER(C174),$C174*$K$268*$F$258,0),0.05)</f>
        <v>0</v>
      </c>
      <c r="P174" s="600">
        <f t="shared" ref="P174:P179" si="90">MROUND($G174*J174/100/H174,0.05)</f>
        <v>123.75</v>
      </c>
      <c r="Q174" s="631">
        <f t="shared" ref="Q174:Q179" si="91">SUM(O174:P174)</f>
        <v>123.75</v>
      </c>
      <c r="R174" s="594">
        <f t="shared" ref="R174:R179" si="92">N174+P174</f>
        <v>458.30000000000007</v>
      </c>
      <c r="S174" s="599">
        <f t="shared" ref="S174:S179" si="93">N174+Q174</f>
        <v>458.30000000000007</v>
      </c>
      <c r="U174" s="603">
        <f t="shared" ref="U174:U179" si="94">R174-M174*(1-U$162)</f>
        <v>458.30000000000007</v>
      </c>
      <c r="V174" s="599">
        <f t="shared" ref="V174:V179" si="95">U174+O174</f>
        <v>458.30000000000007</v>
      </c>
      <c r="X174" s="767"/>
    </row>
    <row r="175" spans="1:24">
      <c r="A175" s="310">
        <f>IF(ISNUMBER(G175),ROW(),"")</f>
        <v>175</v>
      </c>
      <c r="C175" s="673"/>
      <c r="D175" s="12"/>
      <c r="E175" s="151" t="s">
        <v>1006</v>
      </c>
      <c r="F175" s="940">
        <f>20*MeterPerVoet</f>
        <v>6.0960000000000001</v>
      </c>
      <c r="G175" s="678">
        <v>800000</v>
      </c>
      <c r="H175" s="648">
        <v>3750</v>
      </c>
      <c r="I175" s="648">
        <v>200</v>
      </c>
      <c r="J175" s="649">
        <v>80</v>
      </c>
      <c r="K175" s="594">
        <f t="shared" si="85"/>
        <v>192</v>
      </c>
      <c r="L175" s="594">
        <f t="shared" si="86"/>
        <v>38.5</v>
      </c>
      <c r="M175" s="600">
        <f t="shared" si="87"/>
        <v>231</v>
      </c>
      <c r="N175" s="601">
        <f t="shared" si="88"/>
        <v>461.5</v>
      </c>
      <c r="O175" s="594">
        <f t="shared" si="89"/>
        <v>0</v>
      </c>
      <c r="P175" s="600">
        <f t="shared" si="90"/>
        <v>170.65</v>
      </c>
      <c r="Q175" s="631">
        <f t="shared" si="91"/>
        <v>170.65</v>
      </c>
      <c r="R175" s="594">
        <f t="shared" si="92"/>
        <v>632.15</v>
      </c>
      <c r="S175" s="599">
        <f t="shared" si="93"/>
        <v>632.15</v>
      </c>
      <c r="U175" s="603">
        <f t="shared" si="94"/>
        <v>632.15</v>
      </c>
      <c r="V175" s="599">
        <f t="shared" si="95"/>
        <v>632.15</v>
      </c>
      <c r="X175" s="767"/>
    </row>
    <row r="176" spans="1:24">
      <c r="A176" s="130">
        <f>IF(ISNUMBER(G176),ROW(),"")</f>
        <v>176</v>
      </c>
      <c r="C176" s="673"/>
      <c r="D176" s="12"/>
      <c r="E176" s="151" t="s">
        <v>882</v>
      </c>
      <c r="F176" s="940">
        <f>25*MeterPerVoet</f>
        <v>7.62</v>
      </c>
      <c r="G176" s="678">
        <v>890000</v>
      </c>
      <c r="H176" s="648">
        <v>3750</v>
      </c>
      <c r="I176" s="648">
        <v>200</v>
      </c>
      <c r="J176" s="649">
        <v>80</v>
      </c>
      <c r="K176" s="594">
        <f t="shared" si="85"/>
        <v>213.60000000000002</v>
      </c>
      <c r="L176" s="594">
        <f t="shared" si="86"/>
        <v>42.85</v>
      </c>
      <c r="M176" s="600">
        <f t="shared" si="87"/>
        <v>257</v>
      </c>
      <c r="N176" s="601">
        <f t="shared" si="88"/>
        <v>513.45000000000005</v>
      </c>
      <c r="O176" s="594">
        <f t="shared" si="89"/>
        <v>0</v>
      </c>
      <c r="P176" s="600">
        <f t="shared" si="90"/>
        <v>189.85000000000002</v>
      </c>
      <c r="Q176" s="631">
        <f t="shared" si="91"/>
        <v>189.85000000000002</v>
      </c>
      <c r="R176" s="594">
        <f t="shared" si="92"/>
        <v>703.30000000000007</v>
      </c>
      <c r="S176" s="599">
        <f t="shared" si="93"/>
        <v>703.30000000000007</v>
      </c>
      <c r="U176" s="603">
        <f t="shared" si="94"/>
        <v>703.30000000000007</v>
      </c>
      <c r="V176" s="599">
        <f t="shared" si="95"/>
        <v>703.30000000000007</v>
      </c>
      <c r="X176" s="767"/>
    </row>
    <row r="177" spans="1:24">
      <c r="A177" s="130">
        <f>IF(ISNUMBER(G177),ROW(),"")</f>
        <v>177</v>
      </c>
      <c r="C177" s="672"/>
      <c r="D177" s="12"/>
      <c r="E177" s="151" t="s">
        <v>881</v>
      </c>
      <c r="F177" s="940">
        <f>30*MeterPerVoet</f>
        <v>9.1440000000000001</v>
      </c>
      <c r="G177" s="678">
        <v>1080000</v>
      </c>
      <c r="H177" s="648">
        <v>3750</v>
      </c>
      <c r="I177" s="648">
        <v>200</v>
      </c>
      <c r="J177" s="649">
        <v>80</v>
      </c>
      <c r="K177" s="594">
        <f t="shared" si="85"/>
        <v>259.2</v>
      </c>
      <c r="L177" s="594">
        <f t="shared" si="86"/>
        <v>52</v>
      </c>
      <c r="M177" s="600">
        <f t="shared" si="87"/>
        <v>311.85000000000002</v>
      </c>
      <c r="N177" s="601">
        <f t="shared" si="88"/>
        <v>623.04999999999995</v>
      </c>
      <c r="O177" s="594">
        <f t="shared" si="89"/>
        <v>0</v>
      </c>
      <c r="P177" s="600">
        <f t="shared" si="90"/>
        <v>230.4</v>
      </c>
      <c r="Q177" s="631">
        <f t="shared" si="91"/>
        <v>230.4</v>
      </c>
      <c r="R177" s="594">
        <f t="shared" si="92"/>
        <v>853.44999999999993</v>
      </c>
      <c r="S177" s="599">
        <f t="shared" si="93"/>
        <v>853.44999999999993</v>
      </c>
      <c r="U177" s="603">
        <f t="shared" si="94"/>
        <v>853.44999999999993</v>
      </c>
      <c r="V177" s="599">
        <f t="shared" si="95"/>
        <v>853.44999999999993</v>
      </c>
      <c r="X177" s="767"/>
    </row>
    <row r="178" spans="1:24">
      <c r="A178" s="130">
        <f>IF(ISNUMBER(G178),ROW(),"")</f>
        <v>178</v>
      </c>
      <c r="C178" s="672"/>
      <c r="D178" s="12"/>
      <c r="E178" s="151" t="s">
        <v>883</v>
      </c>
      <c r="F178" s="940">
        <f>35*MeterPerVoet</f>
        <v>10.668000000000001</v>
      </c>
      <c r="G178" s="678">
        <v>1110000</v>
      </c>
      <c r="H178" s="648">
        <v>3750</v>
      </c>
      <c r="I178" s="648">
        <v>200</v>
      </c>
      <c r="J178" s="649">
        <v>80</v>
      </c>
      <c r="K178" s="594">
        <f t="shared" si="85"/>
        <v>266.40000000000003</v>
      </c>
      <c r="L178" s="594">
        <f t="shared" si="86"/>
        <v>53.400000000000006</v>
      </c>
      <c r="M178" s="600">
        <f t="shared" si="87"/>
        <v>320.5</v>
      </c>
      <c r="N178" s="601">
        <f t="shared" si="88"/>
        <v>640.30000000000007</v>
      </c>
      <c r="O178" s="594">
        <f t="shared" si="89"/>
        <v>0</v>
      </c>
      <c r="P178" s="600">
        <f t="shared" si="90"/>
        <v>236.8</v>
      </c>
      <c r="Q178" s="631">
        <f t="shared" si="91"/>
        <v>236.8</v>
      </c>
      <c r="R178" s="594">
        <f t="shared" si="92"/>
        <v>877.10000000000014</v>
      </c>
      <c r="S178" s="599">
        <f t="shared" si="93"/>
        <v>877.10000000000014</v>
      </c>
      <c r="U178" s="603">
        <f t="shared" si="94"/>
        <v>877.10000000000014</v>
      </c>
      <c r="V178" s="599">
        <f t="shared" si="95"/>
        <v>877.10000000000014</v>
      </c>
      <c r="X178" s="767"/>
    </row>
    <row r="179" spans="1:24">
      <c r="A179" s="130">
        <f>IF(ISNUMBER(G179),ROW(),"")</f>
        <v>179</v>
      </c>
      <c r="C179" s="673"/>
      <c r="D179" s="12"/>
      <c r="E179" s="151" t="s">
        <v>884</v>
      </c>
      <c r="F179" s="940">
        <f>40*MeterPerVoet</f>
        <v>12.192</v>
      </c>
      <c r="G179" s="678">
        <v>1125000</v>
      </c>
      <c r="H179" s="648">
        <v>3750</v>
      </c>
      <c r="I179" s="648">
        <v>200</v>
      </c>
      <c r="J179" s="649">
        <v>80</v>
      </c>
      <c r="K179" s="594">
        <f t="shared" si="85"/>
        <v>270</v>
      </c>
      <c r="L179" s="594">
        <f t="shared" si="86"/>
        <v>54.150000000000006</v>
      </c>
      <c r="M179" s="600">
        <f t="shared" si="87"/>
        <v>324.85000000000002</v>
      </c>
      <c r="N179" s="601">
        <f t="shared" si="88"/>
        <v>649</v>
      </c>
      <c r="O179" s="594">
        <f t="shared" si="89"/>
        <v>0</v>
      </c>
      <c r="P179" s="600">
        <f t="shared" si="90"/>
        <v>240</v>
      </c>
      <c r="Q179" s="631">
        <f t="shared" si="91"/>
        <v>240</v>
      </c>
      <c r="R179" s="594">
        <f t="shared" si="92"/>
        <v>889</v>
      </c>
      <c r="S179" s="599">
        <f t="shared" si="93"/>
        <v>889</v>
      </c>
      <c r="U179" s="603">
        <f t="shared" si="94"/>
        <v>889</v>
      </c>
      <c r="V179" s="599">
        <f t="shared" si="95"/>
        <v>889</v>
      </c>
      <c r="X179" s="767"/>
    </row>
    <row r="180" spans="1:24">
      <c r="A180" s="310"/>
      <c r="C180" s="673"/>
      <c r="D180" s="12"/>
      <c r="E180" s="151"/>
      <c r="F180" s="940"/>
      <c r="G180" s="678"/>
      <c r="H180" s="648"/>
      <c r="I180" s="648"/>
      <c r="J180" s="649"/>
      <c r="K180" s="594"/>
      <c r="L180" s="594"/>
      <c r="M180" s="600"/>
      <c r="N180" s="601"/>
      <c r="O180" s="594"/>
      <c r="P180" s="600"/>
      <c r="Q180" s="631"/>
      <c r="R180" s="594"/>
      <c r="S180" s="601"/>
      <c r="U180" s="603"/>
      <c r="V180" s="601"/>
      <c r="X180" s="449"/>
    </row>
    <row r="181" spans="1:24">
      <c r="A181" s="310">
        <f>IF(ISNUMBER(G181),ROW(),"")</f>
        <v>181</v>
      </c>
      <c r="C181" s="672"/>
      <c r="D181" s="12"/>
      <c r="E181" s="151" t="s">
        <v>1007</v>
      </c>
      <c r="F181" s="940">
        <f>25*MeterPerVoet</f>
        <v>7.62</v>
      </c>
      <c r="G181" s="678">
        <v>69000</v>
      </c>
      <c r="H181" s="648">
        <v>3750</v>
      </c>
      <c r="I181" s="648">
        <v>200</v>
      </c>
      <c r="J181" s="649">
        <v>80</v>
      </c>
      <c r="K181" s="594">
        <f>MROUND($G181*(1-$F$256/100)/H181,0.05)</f>
        <v>16.55</v>
      </c>
      <c r="L181" s="594">
        <f>MROUND($G181*(1+$F$256/100)/2*$G$263/100/I181,0.05)</f>
        <v>3.3000000000000003</v>
      </c>
      <c r="M181" s="600">
        <f>MROUND($G181*(1+$F$256/100)/2*$F$257/100/I181,0.05)</f>
        <v>19.900000000000002</v>
      </c>
      <c r="N181" s="601">
        <f t="shared" ref="N181:N184" si="96">SUM(K181:M181)</f>
        <v>39.75</v>
      </c>
      <c r="O181" s="594">
        <f>MROUND(IF(ISNUMBER(C181),$C181*$K$268*$F$258,0),0.05)</f>
        <v>0</v>
      </c>
      <c r="P181" s="600">
        <f t="shared" ref="P181:P184" si="97">MROUND($G181*J181/100/H181,0.05)</f>
        <v>14.700000000000001</v>
      </c>
      <c r="Q181" s="631">
        <f t="shared" ref="Q181:Q184" si="98">SUM(O181:P181)</f>
        <v>14.700000000000001</v>
      </c>
      <c r="R181" s="594">
        <f t="shared" ref="R181:R184" si="99">N181+P181</f>
        <v>54.45</v>
      </c>
      <c r="S181" s="599">
        <f t="shared" ref="S181:S184" si="100">N181+Q181</f>
        <v>54.45</v>
      </c>
      <c r="U181" s="603">
        <f t="shared" ref="U181:U184" si="101">R181-M181*(1-U$162)</f>
        <v>54.45</v>
      </c>
      <c r="V181" s="599">
        <f t="shared" ref="V181:V184" si="102">U181+O181</f>
        <v>54.45</v>
      </c>
      <c r="X181" s="449"/>
    </row>
    <row r="182" spans="1:24">
      <c r="A182" s="267">
        <f>IF(ISNUMBER(G182),ROW(),"")</f>
        <v>182</v>
      </c>
      <c r="C182" s="672"/>
      <c r="D182" s="12"/>
      <c r="E182" s="151" t="s">
        <v>960</v>
      </c>
      <c r="F182" s="940">
        <f>30*MeterPerVoet</f>
        <v>9.1440000000000001</v>
      </c>
      <c r="G182" s="678">
        <v>87000</v>
      </c>
      <c r="H182" s="648">
        <v>3750</v>
      </c>
      <c r="I182" s="648">
        <v>200</v>
      </c>
      <c r="J182" s="649">
        <v>80</v>
      </c>
      <c r="K182" s="594">
        <f>MROUND($G182*(1-$F$256/100)/H182,0.05)</f>
        <v>20.900000000000002</v>
      </c>
      <c r="L182" s="594">
        <f>MROUND($G182*(1+$F$256/100)/2*$G$263/100/I182,0.05)</f>
        <v>4.2</v>
      </c>
      <c r="M182" s="600">
        <f>MROUND($G182*(1+$F$256/100)/2*$F$257/100/I182,0.05)</f>
        <v>25.1</v>
      </c>
      <c r="N182" s="601">
        <f t="shared" si="96"/>
        <v>50.2</v>
      </c>
      <c r="O182" s="594">
        <f>MROUND(IF(ISNUMBER(C182),$C182*$K$268*$F$258,0),0.05)</f>
        <v>0</v>
      </c>
      <c r="P182" s="600">
        <f t="shared" si="97"/>
        <v>18.55</v>
      </c>
      <c r="Q182" s="631">
        <f t="shared" si="98"/>
        <v>18.55</v>
      </c>
      <c r="R182" s="594">
        <f t="shared" si="99"/>
        <v>68.75</v>
      </c>
      <c r="S182" s="599">
        <f t="shared" si="100"/>
        <v>68.75</v>
      </c>
      <c r="U182" s="603">
        <f t="shared" si="101"/>
        <v>68.75</v>
      </c>
      <c r="V182" s="599">
        <f t="shared" si="102"/>
        <v>68.75</v>
      </c>
      <c r="X182" s="449"/>
    </row>
    <row r="183" spans="1:24">
      <c r="A183" s="310">
        <f>IF(ISNUMBER(G183),ROW(),"")</f>
        <v>183</v>
      </c>
      <c r="C183" s="672"/>
      <c r="D183" s="12"/>
      <c r="E183" s="151" t="s">
        <v>961</v>
      </c>
      <c r="F183" s="940">
        <f>35*MeterPerVoet</f>
        <v>10.668000000000001</v>
      </c>
      <c r="G183" s="678">
        <v>90000</v>
      </c>
      <c r="H183" s="648">
        <v>3750</v>
      </c>
      <c r="I183" s="648">
        <v>200</v>
      </c>
      <c r="J183" s="649">
        <v>80</v>
      </c>
      <c r="K183" s="594">
        <f>MROUND($G183*(1-$F$256/100)/H183,0.05)</f>
        <v>21.6</v>
      </c>
      <c r="L183" s="594">
        <f>MROUND($G183*(1+$F$256/100)/2*$G$263/100/I183,0.05)</f>
        <v>4.3500000000000005</v>
      </c>
      <c r="M183" s="600">
        <f>MROUND($G183*(1+$F$256/100)/2*$F$257/100/I183,0.05)</f>
        <v>26</v>
      </c>
      <c r="N183" s="601">
        <f t="shared" si="96"/>
        <v>51.95</v>
      </c>
      <c r="O183" s="594">
        <f>MROUND(IF(ISNUMBER(C183),$C183*$K$268*$F$258,0),0.05)</f>
        <v>0</v>
      </c>
      <c r="P183" s="600">
        <f t="shared" si="97"/>
        <v>19.200000000000003</v>
      </c>
      <c r="Q183" s="631">
        <f t="shared" si="98"/>
        <v>19.200000000000003</v>
      </c>
      <c r="R183" s="594">
        <f t="shared" si="99"/>
        <v>71.150000000000006</v>
      </c>
      <c r="S183" s="599">
        <f t="shared" si="100"/>
        <v>71.150000000000006</v>
      </c>
      <c r="U183" s="603">
        <f t="shared" si="101"/>
        <v>71.150000000000006</v>
      </c>
      <c r="V183" s="599">
        <f t="shared" si="102"/>
        <v>71.150000000000006</v>
      </c>
      <c r="X183" s="449"/>
    </row>
    <row r="184" spans="1:24">
      <c r="A184" s="310">
        <f>IF(ISNUMBER(G184),ROW(),"")</f>
        <v>184</v>
      </c>
      <c r="C184" s="672"/>
      <c r="D184" s="12"/>
      <c r="E184" s="151" t="s">
        <v>1008</v>
      </c>
      <c r="F184" s="940">
        <f>40*MeterPerVoet</f>
        <v>12.192</v>
      </c>
      <c r="G184" s="678">
        <v>94000</v>
      </c>
      <c r="H184" s="648">
        <v>3750</v>
      </c>
      <c r="I184" s="648">
        <v>200</v>
      </c>
      <c r="J184" s="649">
        <v>80</v>
      </c>
      <c r="K184" s="594">
        <f>MROUND($G184*(1-$F$256/100)/H184,0.05)</f>
        <v>22.55</v>
      </c>
      <c r="L184" s="594">
        <f>MROUND($G184*(1+$F$256/100)/2*$G$263/100/I184,0.05)</f>
        <v>4.5</v>
      </c>
      <c r="M184" s="600">
        <f>MROUND($G184*(1+$F$256/100)/2*$F$257/100/I184,0.05)</f>
        <v>27.150000000000002</v>
      </c>
      <c r="N184" s="601">
        <f t="shared" si="96"/>
        <v>54.2</v>
      </c>
      <c r="O184" s="594">
        <f>MROUND(IF(ISNUMBER(C184),$C184*$K$268*$F$258,0),0.05)</f>
        <v>0</v>
      </c>
      <c r="P184" s="600">
        <f t="shared" si="97"/>
        <v>20.05</v>
      </c>
      <c r="Q184" s="631">
        <f t="shared" si="98"/>
        <v>20.05</v>
      </c>
      <c r="R184" s="594">
        <f t="shared" si="99"/>
        <v>74.25</v>
      </c>
      <c r="S184" s="599">
        <f t="shared" si="100"/>
        <v>74.25</v>
      </c>
      <c r="U184" s="603">
        <f t="shared" si="101"/>
        <v>74.25</v>
      </c>
      <c r="V184" s="599">
        <f t="shared" si="102"/>
        <v>74.25</v>
      </c>
      <c r="X184" s="449"/>
    </row>
    <row r="185" spans="1:24">
      <c r="A185" s="310" t="str">
        <f>IF(ISNUMBER(G185),ROW(),"")</f>
        <v/>
      </c>
      <c r="C185" s="617"/>
      <c r="D185" s="12"/>
      <c r="E185" s="63"/>
      <c r="F185" s="135"/>
      <c r="G185" s="560"/>
      <c r="H185" s="629"/>
      <c r="I185" s="629"/>
      <c r="J185" s="629"/>
      <c r="K185" s="594"/>
      <c r="L185" s="594"/>
      <c r="M185" s="594"/>
      <c r="N185" s="596"/>
      <c r="O185" s="594"/>
      <c r="P185" s="594"/>
      <c r="Q185" s="596"/>
      <c r="R185" s="596"/>
      <c r="S185" s="601"/>
      <c r="U185" s="778"/>
      <c r="V185" s="601"/>
      <c r="X185" s="448"/>
    </row>
    <row r="186" spans="1:24">
      <c r="A186" s="310"/>
      <c r="C186" s="669" t="s">
        <v>880</v>
      </c>
      <c r="D186" s="12"/>
      <c r="E186" s="63"/>
      <c r="F186" s="135"/>
      <c r="G186" s="560"/>
      <c r="H186" s="629"/>
      <c r="I186" s="629"/>
      <c r="J186" s="629"/>
      <c r="K186" s="594"/>
      <c r="L186" s="594"/>
      <c r="M186" s="594"/>
      <c r="N186" s="596"/>
      <c r="O186" s="594"/>
      <c r="P186" s="594"/>
      <c r="Q186" s="596"/>
      <c r="R186" s="596"/>
      <c r="S186" s="601"/>
      <c r="U186" s="778"/>
      <c r="V186" s="601"/>
      <c r="X186" s="448"/>
    </row>
    <row r="187" spans="1:24">
      <c r="A187" s="310"/>
      <c r="C187" s="674" t="s">
        <v>886</v>
      </c>
      <c r="D187" s="12"/>
      <c r="E187" s="63"/>
      <c r="F187" s="135"/>
      <c r="G187" s="560"/>
      <c r="H187" s="629"/>
      <c r="I187" s="629"/>
      <c r="J187" s="629"/>
      <c r="K187" s="594"/>
      <c r="L187" s="594"/>
      <c r="M187" s="594"/>
      <c r="N187" s="596"/>
      <c r="O187" s="594"/>
      <c r="P187" s="594"/>
      <c r="Q187" s="596"/>
      <c r="R187" s="596"/>
      <c r="S187" s="601"/>
      <c r="U187" s="778"/>
      <c r="V187" s="601"/>
      <c r="X187" s="448"/>
    </row>
    <row r="188" spans="1:24">
      <c r="A188" s="267"/>
      <c r="C188" s="668"/>
      <c r="D188" s="12"/>
      <c r="E188" s="63"/>
      <c r="F188" s="135"/>
      <c r="G188" s="560"/>
      <c r="H188" s="629"/>
      <c r="I188" s="629"/>
      <c r="J188" s="629"/>
      <c r="K188" s="594"/>
      <c r="L188" s="594"/>
      <c r="M188" s="594"/>
      <c r="N188" s="596"/>
      <c r="O188" s="594"/>
      <c r="P188" s="594"/>
      <c r="Q188" s="596"/>
      <c r="R188" s="596"/>
      <c r="S188" s="601"/>
      <c r="U188" s="778"/>
      <c r="V188" s="601"/>
      <c r="X188" s="448"/>
    </row>
    <row r="189" spans="1:24">
      <c r="A189" s="93">
        <f t="shared" si="32"/>
        <v>189</v>
      </c>
      <c r="C189" s="617">
        <f t="shared" ref="C189:S189" si="103">C166</f>
        <v>100</v>
      </c>
      <c r="D189" s="12">
        <f>C189*PKperKW</f>
        <v>134.10220895950283</v>
      </c>
      <c r="E189" s="151" t="str">
        <f t="shared" si="103"/>
        <v>SL Platsnyer sonder tafel 100kW / 134PK</v>
      </c>
      <c r="F189" s="115" t="str">
        <f t="shared" si="103"/>
        <v>sonder</v>
      </c>
      <c r="G189" s="620">
        <f t="shared" si="103"/>
        <v>1275000</v>
      </c>
      <c r="H189" s="629">
        <f t="shared" si="103"/>
        <v>5000</v>
      </c>
      <c r="I189" s="629">
        <f t="shared" si="103"/>
        <v>250</v>
      </c>
      <c r="J189" s="630">
        <f t="shared" si="103"/>
        <v>80</v>
      </c>
      <c r="K189" s="594">
        <f t="shared" si="103"/>
        <v>229.5</v>
      </c>
      <c r="L189" s="594">
        <f t="shared" si="103"/>
        <v>49.1</v>
      </c>
      <c r="M189" s="600">
        <f t="shared" si="103"/>
        <v>294.5</v>
      </c>
      <c r="N189" s="601">
        <f t="shared" si="103"/>
        <v>573.1</v>
      </c>
      <c r="O189" s="594">
        <f t="shared" si="103"/>
        <v>221.4</v>
      </c>
      <c r="P189" s="600">
        <f t="shared" si="103"/>
        <v>204</v>
      </c>
      <c r="Q189" s="631">
        <f t="shared" si="103"/>
        <v>425.4</v>
      </c>
      <c r="R189" s="594">
        <f t="shared" si="103"/>
        <v>777.1</v>
      </c>
      <c r="S189" s="601">
        <f t="shared" si="103"/>
        <v>998.5</v>
      </c>
      <c r="U189" s="603">
        <f t="shared" ref="U189:U192" si="104">R189-M189*(1-U$162)</f>
        <v>777.1</v>
      </c>
      <c r="V189" s="601">
        <f t="shared" ref="V189:V192" si="105">U189+O189</f>
        <v>998.5</v>
      </c>
      <c r="X189" s="767">
        <f>MROUND(IF(ISNUMBER(C189),$C189*$K$268,0),0.05)</f>
        <v>18</v>
      </c>
    </row>
    <row r="190" spans="1:24">
      <c r="A190" s="93">
        <f t="shared" si="32"/>
        <v>190</v>
      </c>
      <c r="C190" s="675"/>
      <c r="D190" s="182" t="s">
        <v>0</v>
      </c>
      <c r="E190" s="151" t="str">
        <f t="shared" ref="E190:S190" si="106">E177</f>
        <v>Platsny tafel - 30 vt tafel - 9.14m</v>
      </c>
      <c r="F190" s="940">
        <f t="shared" si="106"/>
        <v>9.1440000000000001</v>
      </c>
      <c r="G190" s="678">
        <f t="shared" si="106"/>
        <v>1080000</v>
      </c>
      <c r="H190" s="648">
        <f t="shared" si="106"/>
        <v>3750</v>
      </c>
      <c r="I190" s="648">
        <f t="shared" si="106"/>
        <v>200</v>
      </c>
      <c r="J190" s="649">
        <f t="shared" si="106"/>
        <v>80</v>
      </c>
      <c r="K190" s="598">
        <f t="shared" si="106"/>
        <v>259.2</v>
      </c>
      <c r="L190" s="598">
        <f t="shared" si="106"/>
        <v>52</v>
      </c>
      <c r="M190" s="650">
        <f t="shared" si="106"/>
        <v>311.85000000000002</v>
      </c>
      <c r="N190" s="601">
        <f t="shared" si="106"/>
        <v>623.04999999999995</v>
      </c>
      <c r="O190" s="598">
        <f t="shared" si="106"/>
        <v>0</v>
      </c>
      <c r="P190" s="650">
        <f t="shared" si="106"/>
        <v>230.4</v>
      </c>
      <c r="Q190" s="631">
        <f t="shared" si="106"/>
        <v>230.4</v>
      </c>
      <c r="R190" s="598">
        <f t="shared" si="106"/>
        <v>853.44999999999993</v>
      </c>
      <c r="S190" s="601">
        <f t="shared" si="106"/>
        <v>853.44999999999993</v>
      </c>
      <c r="U190" s="779">
        <f t="shared" si="104"/>
        <v>853.44999999999993</v>
      </c>
      <c r="V190" s="601">
        <f t="shared" si="105"/>
        <v>853.44999999999993</v>
      </c>
      <c r="X190" s="767"/>
    </row>
    <row r="191" spans="1:24">
      <c r="A191" s="310"/>
      <c r="C191" s="675"/>
      <c r="D191" s="182" t="s">
        <v>0</v>
      </c>
      <c r="E191" s="151" t="str">
        <f>E182</f>
        <v>Cross-Auger - 30vt - 9.14m</v>
      </c>
      <c r="F191" s="940">
        <f t="shared" ref="F191:S191" si="107">F182</f>
        <v>9.1440000000000001</v>
      </c>
      <c r="G191" s="678">
        <f t="shared" si="107"/>
        <v>87000</v>
      </c>
      <c r="H191" s="648">
        <f t="shared" si="107"/>
        <v>3750</v>
      </c>
      <c r="I191" s="648">
        <f t="shared" si="107"/>
        <v>200</v>
      </c>
      <c r="J191" s="649">
        <f t="shared" si="107"/>
        <v>80</v>
      </c>
      <c r="K191" s="598">
        <f t="shared" si="107"/>
        <v>20.900000000000002</v>
      </c>
      <c r="L191" s="598">
        <f t="shared" si="107"/>
        <v>4.2</v>
      </c>
      <c r="M191" s="650">
        <f t="shared" si="107"/>
        <v>25.1</v>
      </c>
      <c r="N191" s="601">
        <f t="shared" si="107"/>
        <v>50.2</v>
      </c>
      <c r="O191" s="598">
        <f t="shared" si="107"/>
        <v>0</v>
      </c>
      <c r="P191" s="650">
        <f t="shared" si="107"/>
        <v>18.55</v>
      </c>
      <c r="Q191" s="631">
        <f t="shared" si="107"/>
        <v>18.55</v>
      </c>
      <c r="R191" s="598">
        <f t="shared" si="107"/>
        <v>68.75</v>
      </c>
      <c r="S191" s="601">
        <f t="shared" si="107"/>
        <v>68.75</v>
      </c>
      <c r="U191" s="779">
        <f t="shared" si="104"/>
        <v>68.75</v>
      </c>
      <c r="V191" s="601">
        <f t="shared" si="105"/>
        <v>68.75</v>
      </c>
      <c r="X191" s="767"/>
    </row>
    <row r="192" spans="1:24">
      <c r="A192" s="310"/>
      <c r="C192" s="676"/>
      <c r="D192" s="182"/>
      <c r="E192" s="446" t="s">
        <v>30</v>
      </c>
      <c r="F192" s="945">
        <f>F190</f>
        <v>9.1440000000000001</v>
      </c>
      <c r="G192" s="679">
        <f>SUM(G189:G190)</f>
        <v>2355000</v>
      </c>
      <c r="H192" s="651"/>
      <c r="I192" s="651"/>
      <c r="J192" s="652"/>
      <c r="K192" s="653">
        <f t="shared" ref="K192:S192" si="108">SUM(K189:K190)</f>
        <v>488.7</v>
      </c>
      <c r="L192" s="653">
        <f t="shared" si="108"/>
        <v>101.1</v>
      </c>
      <c r="M192" s="654">
        <f t="shared" si="108"/>
        <v>606.35</v>
      </c>
      <c r="N192" s="655">
        <f t="shared" si="108"/>
        <v>1196.1500000000001</v>
      </c>
      <c r="O192" s="653">
        <f t="shared" si="108"/>
        <v>221.4</v>
      </c>
      <c r="P192" s="654">
        <f t="shared" si="108"/>
        <v>434.4</v>
      </c>
      <c r="Q192" s="656">
        <f t="shared" si="108"/>
        <v>655.8</v>
      </c>
      <c r="R192" s="653">
        <f t="shared" si="108"/>
        <v>1630.55</v>
      </c>
      <c r="S192" s="655">
        <f t="shared" si="108"/>
        <v>1851.9499999999998</v>
      </c>
      <c r="U192" s="780">
        <f t="shared" si="104"/>
        <v>1630.55</v>
      </c>
      <c r="V192" s="655">
        <f t="shared" si="105"/>
        <v>1851.95</v>
      </c>
      <c r="X192" s="767"/>
    </row>
    <row r="193" spans="1:26">
      <c r="A193" s="310"/>
      <c r="C193" s="677"/>
      <c r="D193" s="273"/>
      <c r="E193" s="447"/>
      <c r="F193" s="274"/>
      <c r="G193" s="680"/>
      <c r="H193" s="657"/>
      <c r="I193" s="657"/>
      <c r="J193" s="657"/>
      <c r="K193" s="658"/>
      <c r="L193" s="658"/>
      <c r="M193" s="658"/>
      <c r="N193" s="659"/>
      <c r="O193" s="658"/>
      <c r="P193" s="658"/>
      <c r="Q193" s="659"/>
      <c r="R193" s="658"/>
      <c r="S193" s="660"/>
      <c r="U193" s="781"/>
      <c r="V193" s="660"/>
      <c r="X193" s="449"/>
    </row>
    <row r="194" spans="1:26">
      <c r="A194" s="93" t="str">
        <f t="shared" si="32"/>
        <v/>
      </c>
      <c r="C194" s="619"/>
      <c r="D194" s="35"/>
      <c r="E194" s="64"/>
      <c r="F194" s="138"/>
      <c r="G194" s="563"/>
      <c r="H194" s="636"/>
      <c r="I194" s="636"/>
      <c r="J194" s="636"/>
      <c r="K194" s="605"/>
      <c r="L194" s="605"/>
      <c r="M194" s="605"/>
      <c r="N194" s="607"/>
      <c r="O194" s="605"/>
      <c r="P194" s="605"/>
      <c r="Q194" s="605"/>
      <c r="R194" s="605"/>
      <c r="S194" s="628"/>
      <c r="U194" s="776"/>
      <c r="V194" s="628"/>
      <c r="X194" s="450"/>
    </row>
    <row r="195" spans="1:26">
      <c r="A195" s="93" t="str">
        <f t="shared" si="32"/>
        <v/>
      </c>
      <c r="B195" s="16"/>
      <c r="C195" s="2"/>
      <c r="D195" s="2"/>
      <c r="E195" s="62"/>
      <c r="F195" s="135"/>
      <c r="G195" s="2"/>
      <c r="H195" s="585"/>
      <c r="I195" s="585"/>
      <c r="J195" s="585"/>
      <c r="K195" s="585"/>
      <c r="L195" s="585"/>
      <c r="M195" s="585"/>
      <c r="N195" s="585"/>
      <c r="O195" s="585"/>
      <c r="P195" s="585"/>
      <c r="Q195" s="585"/>
      <c r="R195" s="585"/>
      <c r="S195" s="585"/>
      <c r="T195" s="16"/>
      <c r="U195" s="585"/>
      <c r="V195" s="585"/>
      <c r="W195" s="16"/>
      <c r="X195" s="73"/>
      <c r="Y195" s="16"/>
      <c r="Z195" s="16"/>
    </row>
    <row r="196" spans="1:26" ht="13.5" thickBot="1">
      <c r="A196" s="310" t="str">
        <f t="shared" ref="A196:A197" si="109">IF(ISNUMBER(G196),ROW(),"")</f>
        <v/>
      </c>
      <c r="B196" s="266">
        <f>MAX($B$8:B195)+0.01</f>
        <v>4.0199999999999996</v>
      </c>
      <c r="C196" s="97" t="s">
        <v>1093</v>
      </c>
      <c r="D196" s="95"/>
      <c r="E196" s="95"/>
      <c r="F196" s="136"/>
      <c r="G196" s="95"/>
      <c r="H196" s="633"/>
      <c r="I196" s="633"/>
      <c r="J196" s="633"/>
      <c r="K196" s="633"/>
      <c r="L196" s="633"/>
      <c r="M196" s="633"/>
      <c r="N196" s="633"/>
      <c r="O196" s="633"/>
      <c r="P196" s="633"/>
      <c r="Q196" s="633"/>
      <c r="R196" s="633"/>
      <c r="S196" s="634"/>
      <c r="U196" s="774"/>
      <c r="V196" s="634"/>
      <c r="X196" s="451"/>
    </row>
    <row r="197" spans="1:26">
      <c r="A197" s="310" t="str">
        <f t="shared" si="109"/>
        <v/>
      </c>
      <c r="B197" s="16"/>
      <c r="C197" s="668"/>
      <c r="D197" s="2"/>
      <c r="E197" s="62"/>
      <c r="F197" s="135"/>
      <c r="G197" s="557"/>
      <c r="H197" s="585"/>
      <c r="I197" s="585"/>
      <c r="J197" s="585"/>
      <c r="K197" s="585"/>
      <c r="L197" s="585"/>
      <c r="M197" s="585"/>
      <c r="N197" s="585"/>
      <c r="O197" s="585"/>
      <c r="P197" s="585"/>
      <c r="Q197" s="585"/>
      <c r="R197" s="585"/>
      <c r="S197" s="635"/>
      <c r="U197" s="591"/>
      <c r="V197" s="635"/>
      <c r="X197" s="448"/>
    </row>
    <row r="198" spans="1:26">
      <c r="A198" s="310"/>
      <c r="B198" s="16"/>
      <c r="C198" s="669" t="s">
        <v>999</v>
      </c>
      <c r="D198" s="153"/>
      <c r="E198" s="188"/>
      <c r="F198" s="536"/>
      <c r="G198" s="718"/>
      <c r="H198" s="175"/>
      <c r="I198" s="175"/>
      <c r="J198" s="175"/>
      <c r="K198" s="175"/>
      <c r="L198" s="175"/>
      <c r="M198" s="175"/>
      <c r="N198" s="175"/>
      <c r="O198" s="175"/>
      <c r="P198" s="175"/>
      <c r="Q198" s="175"/>
      <c r="R198" s="175"/>
      <c r="S198" s="749"/>
      <c r="U198" s="782"/>
      <c r="V198" s="749"/>
      <c r="X198" s="449"/>
    </row>
    <row r="199" spans="1:26">
      <c r="A199" s="310"/>
      <c r="B199" s="16"/>
      <c r="C199" s="750"/>
      <c r="D199" s="153"/>
      <c r="E199" s="188"/>
      <c r="F199" s="536"/>
      <c r="G199" s="718"/>
      <c r="H199" s="175"/>
      <c r="I199" s="175"/>
      <c r="J199" s="175"/>
      <c r="K199" s="175"/>
      <c r="L199" s="175"/>
      <c r="M199" s="175"/>
      <c r="N199" s="175"/>
      <c r="O199" s="175"/>
      <c r="P199" s="175"/>
      <c r="Q199" s="175"/>
      <c r="R199" s="175"/>
      <c r="S199" s="749"/>
      <c r="U199" s="782"/>
      <c r="V199" s="749"/>
      <c r="X199" s="449"/>
    </row>
    <row r="200" spans="1:26">
      <c r="A200" s="310"/>
      <c r="B200" s="16"/>
      <c r="C200" s="540" t="s">
        <v>44</v>
      </c>
      <c r="D200" s="541" t="s">
        <v>47</v>
      </c>
      <c r="E200" s="542" t="s">
        <v>1013</v>
      </c>
      <c r="F200" s="536"/>
      <c r="G200" s="540" t="s">
        <v>44</v>
      </c>
      <c r="H200" s="541" t="s">
        <v>47</v>
      </c>
      <c r="I200" s="542" t="s">
        <v>1013</v>
      </c>
      <c r="J200" s="175"/>
      <c r="K200" s="175"/>
      <c r="L200" s="187"/>
      <c r="M200" s="187"/>
      <c r="N200" s="540" t="s">
        <v>44</v>
      </c>
      <c r="O200" s="541" t="s">
        <v>47</v>
      </c>
      <c r="P200" s="542" t="s">
        <v>1013</v>
      </c>
      <c r="Q200" s="175"/>
      <c r="R200" s="175"/>
      <c r="S200" s="749"/>
      <c r="U200" s="782"/>
      <c r="V200" s="749"/>
      <c r="X200" s="449"/>
    </row>
    <row r="201" spans="1:26">
      <c r="A201" s="310"/>
      <c r="B201" s="16"/>
      <c r="C201" s="540"/>
      <c r="D201" s="541"/>
      <c r="E201" s="542"/>
      <c r="F201" s="536"/>
      <c r="G201" s="540"/>
      <c r="H201" s="541"/>
      <c r="I201" s="542"/>
      <c r="J201" s="175"/>
      <c r="K201" s="175"/>
      <c r="L201" s="187"/>
      <c r="M201" s="187"/>
      <c r="N201" s="540"/>
      <c r="O201" s="541"/>
      <c r="P201" s="542"/>
      <c r="Q201" s="175"/>
      <c r="R201" s="175"/>
      <c r="S201" s="749"/>
      <c r="U201" s="782"/>
      <c r="V201" s="749"/>
      <c r="X201" s="449"/>
    </row>
    <row r="202" spans="1:26">
      <c r="A202" s="310"/>
      <c r="B202" s="16"/>
      <c r="C202" s="675">
        <v>74</v>
      </c>
      <c r="D202" s="182">
        <f t="shared" ref="D202:D204" si="110">CONVERT(C202,"W","HP")*1000</f>
        <v>99.235634630032052</v>
      </c>
      <c r="E202" s="151" t="s">
        <v>1000</v>
      </c>
      <c r="F202" s="536"/>
      <c r="G202" s="675">
        <v>94</v>
      </c>
      <c r="H202" s="182">
        <f>CONVERT(G202,"W","HP")*1000</f>
        <v>126.05607642193262</v>
      </c>
      <c r="I202" s="151" t="s">
        <v>1095</v>
      </c>
      <c r="J202" s="175"/>
      <c r="K202" s="175"/>
      <c r="L202" s="187"/>
      <c r="M202" s="187"/>
      <c r="N202" s="675">
        <v>94</v>
      </c>
      <c r="O202" s="182">
        <f t="shared" ref="O202:O203" si="111">CONVERT(N202,"W","HP")*1000</f>
        <v>126.05607642193262</v>
      </c>
      <c r="P202" s="151" t="s">
        <v>1009</v>
      </c>
      <c r="Q202" s="175"/>
      <c r="R202" s="175"/>
      <c r="S202" s="749"/>
      <c r="U202" s="782"/>
      <c r="V202" s="749"/>
      <c r="X202" s="449"/>
    </row>
    <row r="203" spans="1:26">
      <c r="A203" s="310"/>
      <c r="B203" s="16"/>
      <c r="C203" s="675">
        <v>82</v>
      </c>
      <c r="D203" s="182">
        <f t="shared" si="110"/>
        <v>109.96381134679228</v>
      </c>
      <c r="E203" s="151" t="s">
        <v>1011</v>
      </c>
      <c r="F203" s="536"/>
      <c r="G203" s="675">
        <v>142</v>
      </c>
      <c r="H203" s="182">
        <f>CONVERT(G203,"W","HP")*1000</f>
        <v>190.42513672249396</v>
      </c>
      <c r="I203" s="151" t="s">
        <v>1096</v>
      </c>
      <c r="J203" s="175"/>
      <c r="K203" s="175"/>
      <c r="L203" s="453"/>
      <c r="M203" s="453"/>
      <c r="N203" s="675">
        <v>142</v>
      </c>
      <c r="O203" s="182">
        <f t="shared" si="111"/>
        <v>190.42513672249396</v>
      </c>
      <c r="P203" s="151" t="s">
        <v>1010</v>
      </c>
      <c r="Q203" s="175"/>
      <c r="R203" s="175"/>
      <c r="S203" s="749"/>
      <c r="U203" s="782"/>
      <c r="V203" s="749"/>
      <c r="X203" s="449"/>
    </row>
    <row r="204" spans="1:26">
      <c r="A204" s="310"/>
      <c r="B204" s="16"/>
      <c r="C204" s="675">
        <v>101</v>
      </c>
      <c r="D204" s="182">
        <f t="shared" si="110"/>
        <v>135.44323104909782</v>
      </c>
      <c r="E204" s="151" t="s">
        <v>619</v>
      </c>
      <c r="F204" s="536"/>
      <c r="G204" s="675">
        <v>169</v>
      </c>
      <c r="H204" s="182">
        <f>CONVERT(G204,"W","HP")*1000</f>
        <v>226.6327331415597</v>
      </c>
      <c r="I204" s="151" t="s">
        <v>1097</v>
      </c>
      <c r="J204" s="175"/>
      <c r="K204" s="175"/>
      <c r="L204" s="453"/>
      <c r="M204" s="453"/>
      <c r="N204" s="675"/>
      <c r="O204" s="182"/>
      <c r="P204" s="151"/>
      <c r="Q204" s="175"/>
      <c r="R204" s="175"/>
      <c r="S204" s="749"/>
      <c r="U204" s="782"/>
      <c r="V204" s="749"/>
      <c r="X204" s="449"/>
    </row>
    <row r="205" spans="1:26">
      <c r="A205" s="310"/>
      <c r="B205" s="16"/>
      <c r="C205" s="675">
        <v>110</v>
      </c>
      <c r="D205" s="182">
        <f>CONVERT(C205,"W","HP")*1000</f>
        <v>147.51242985545306</v>
      </c>
      <c r="E205" s="151" t="s">
        <v>620</v>
      </c>
      <c r="F205" s="536"/>
      <c r="G205" s="718"/>
      <c r="H205" s="175"/>
      <c r="I205" s="175"/>
      <c r="J205" s="175"/>
      <c r="K205" s="175"/>
      <c r="L205" s="175"/>
      <c r="M205" s="175"/>
      <c r="N205" s="675">
        <v>150</v>
      </c>
      <c r="O205" s="182">
        <f t="shared" ref="O205" si="112">CONVERT(N205,"W","HP")*1000</f>
        <v>201.15331343925419</v>
      </c>
      <c r="P205" s="151" t="s">
        <v>1098</v>
      </c>
      <c r="Q205" s="175"/>
      <c r="R205" s="175"/>
      <c r="S205" s="749"/>
      <c r="U205" s="782"/>
      <c r="V205" s="749"/>
      <c r="X205" s="449"/>
    </row>
    <row r="206" spans="1:26">
      <c r="A206" s="310"/>
      <c r="B206" s="16"/>
      <c r="C206" s="675">
        <v>164</v>
      </c>
      <c r="D206" s="182">
        <f>CONVERT(C206,"W","HP")*1000</f>
        <v>219.92762269358457</v>
      </c>
      <c r="E206" s="151" t="s">
        <v>1012</v>
      </c>
      <c r="F206" s="187"/>
      <c r="G206" s="718"/>
      <c r="H206" s="175"/>
      <c r="I206" s="175"/>
      <c r="J206" s="175"/>
      <c r="K206" s="175"/>
      <c r="L206" s="175"/>
      <c r="M206" s="175"/>
      <c r="N206" s="175"/>
      <c r="O206" s="175"/>
      <c r="P206" s="175"/>
      <c r="Q206" s="175"/>
      <c r="R206" s="175"/>
      <c r="S206" s="749"/>
      <c r="U206" s="782"/>
      <c r="V206" s="749"/>
      <c r="X206" s="449"/>
    </row>
    <row r="207" spans="1:26">
      <c r="A207" s="310"/>
      <c r="B207" s="16"/>
      <c r="C207" s="751"/>
      <c r="D207" s="752"/>
      <c r="E207" s="753"/>
      <c r="F207" s="754"/>
      <c r="G207" s="717"/>
      <c r="H207" s="755"/>
      <c r="I207" s="755"/>
      <c r="J207" s="755"/>
      <c r="K207" s="608"/>
      <c r="L207" s="608"/>
      <c r="M207" s="608"/>
      <c r="N207" s="607"/>
      <c r="O207" s="608"/>
      <c r="P207" s="608"/>
      <c r="Q207" s="608"/>
      <c r="R207" s="608"/>
      <c r="S207" s="628"/>
      <c r="U207" s="783"/>
      <c r="V207" s="628"/>
      <c r="X207" s="450"/>
    </row>
    <row r="208" spans="1:26">
      <c r="A208" s="310"/>
      <c r="B208" s="16"/>
      <c r="C208" s="557"/>
      <c r="D208" s="2"/>
      <c r="E208" s="188" t="s">
        <v>1309</v>
      </c>
      <c r="F208" s="135"/>
      <c r="G208" s="909"/>
      <c r="H208" s="175"/>
      <c r="I208" s="939" t="s">
        <v>1307</v>
      </c>
      <c r="J208" s="175"/>
      <c r="K208" s="585"/>
      <c r="L208" s="910"/>
      <c r="M208" s="585"/>
      <c r="N208" s="585"/>
      <c r="O208" s="910"/>
      <c r="P208" s="585"/>
      <c r="Q208" s="585"/>
      <c r="R208" s="585"/>
      <c r="S208" s="585"/>
      <c r="U208" s="585"/>
      <c r="V208" s="585"/>
      <c r="X208" s="73"/>
    </row>
    <row r="209" spans="1:26">
      <c r="A209" s="149"/>
      <c r="B209" s="16"/>
      <c r="C209" s="2"/>
      <c r="D209" s="2"/>
      <c r="E209" s="62"/>
      <c r="F209" s="135"/>
      <c r="G209" s="2"/>
      <c r="H209" s="585"/>
      <c r="I209" s="585"/>
      <c r="J209" s="585"/>
      <c r="K209" s="585"/>
      <c r="L209" s="585"/>
      <c r="M209" s="585"/>
      <c r="N209" s="585"/>
      <c r="O209" s="585"/>
      <c r="P209" s="585"/>
      <c r="Q209" s="585"/>
      <c r="R209" s="585"/>
      <c r="S209" s="585"/>
      <c r="T209" s="16"/>
      <c r="U209" s="585"/>
      <c r="V209" s="585"/>
      <c r="W209" s="16"/>
      <c r="X209" s="5"/>
    </row>
    <row r="210" spans="1:26" s="454" customFormat="1" ht="23.25" customHeight="1" thickBot="1">
      <c r="A210" s="177"/>
      <c r="B210" s="287">
        <f>ROUNDDOWN(MAX($B$8:B209),0)+1</f>
        <v>5</v>
      </c>
      <c r="C210" s="294" t="s">
        <v>239</v>
      </c>
      <c r="D210" s="295"/>
      <c r="E210" s="296"/>
      <c r="F210" s="297"/>
      <c r="G210" s="297"/>
      <c r="H210" s="297"/>
      <c r="I210" s="298"/>
      <c r="J210" s="298"/>
      <c r="K210" s="298"/>
      <c r="L210" s="298"/>
      <c r="M210" s="298"/>
      <c r="N210" s="298"/>
      <c r="O210" s="298"/>
      <c r="P210" s="298"/>
      <c r="Q210" s="298"/>
      <c r="R210" s="298"/>
      <c r="S210" s="299"/>
      <c r="T210" s="178"/>
      <c r="U210" s="777"/>
      <c r="V210" s="299"/>
      <c r="W210" s="178"/>
      <c r="X210" s="179"/>
      <c r="Y210" s="180"/>
      <c r="Z210" s="180"/>
    </row>
    <row r="211" spans="1:26">
      <c r="A211" s="149"/>
      <c r="B211" s="16"/>
      <c r="C211" s="2"/>
      <c r="D211" s="2"/>
      <c r="E211" s="2"/>
      <c r="F211" s="2"/>
      <c r="G211" s="2"/>
      <c r="H211" s="585"/>
      <c r="I211" s="585"/>
      <c r="J211" s="585"/>
      <c r="K211" s="585"/>
      <c r="L211" s="585"/>
      <c r="M211" s="585"/>
      <c r="N211" s="585"/>
      <c r="O211" s="661"/>
      <c r="P211" s="175"/>
      <c r="Q211" s="662"/>
      <c r="R211" s="632"/>
      <c r="S211" s="632"/>
      <c r="T211" s="16"/>
      <c r="U211" s="632"/>
      <c r="V211" s="632"/>
      <c r="W211" s="16"/>
      <c r="X211" s="78"/>
      <c r="Y211" s="79"/>
      <c r="Z211" s="194"/>
    </row>
    <row r="212" spans="1:26" ht="13.5" thickBot="1">
      <c r="A212" s="147" t="str">
        <f>IF(ISNUMBER(G212),ROW(),"")</f>
        <v/>
      </c>
      <c r="B212" s="266">
        <f>MAX($B$8:B211)+0.01</f>
        <v>5.01</v>
      </c>
      <c r="C212" s="97" t="s">
        <v>239</v>
      </c>
      <c r="D212" s="95"/>
      <c r="E212" s="95"/>
      <c r="F212" s="136"/>
      <c r="G212" s="95"/>
      <c r="H212" s="633"/>
      <c r="I212" s="633"/>
      <c r="J212" s="633"/>
      <c r="K212" s="663"/>
      <c r="L212" s="633"/>
      <c r="M212" s="633"/>
      <c r="N212" s="633"/>
      <c r="O212" s="633"/>
      <c r="P212" s="633"/>
      <c r="Q212" s="633"/>
      <c r="R212" s="633"/>
      <c r="S212" s="634"/>
      <c r="U212" s="774"/>
      <c r="V212" s="634"/>
      <c r="X212" s="451"/>
    </row>
    <row r="213" spans="1:26">
      <c r="A213" s="147" t="str">
        <f>IF(ISNUMBER(G213),ROW(),"")</f>
        <v/>
      </c>
      <c r="B213" s="16"/>
      <c r="C213" s="668"/>
      <c r="D213" s="2"/>
      <c r="E213" s="62"/>
      <c r="F213" s="135"/>
      <c r="G213" s="557"/>
      <c r="H213" s="585"/>
      <c r="I213" s="585"/>
      <c r="J213" s="585"/>
      <c r="K213" s="585"/>
      <c r="L213" s="585"/>
      <c r="M213" s="585"/>
      <c r="N213" s="585"/>
      <c r="O213" s="585"/>
      <c r="P213" s="585"/>
      <c r="Q213" s="585"/>
      <c r="R213" s="585"/>
      <c r="S213" s="635"/>
      <c r="U213" s="591"/>
      <c r="V213" s="635"/>
      <c r="X213" s="448"/>
    </row>
    <row r="214" spans="1:26">
      <c r="A214" s="310"/>
      <c r="B214" s="16"/>
      <c r="C214" s="669" t="s">
        <v>1001</v>
      </c>
      <c r="D214" s="2"/>
      <c r="E214" s="62"/>
      <c r="F214" s="135"/>
      <c r="G214" s="557"/>
      <c r="H214" s="585"/>
      <c r="I214" s="585"/>
      <c r="J214" s="585"/>
      <c r="K214" s="585"/>
      <c r="L214" s="585"/>
      <c r="M214" s="585"/>
      <c r="N214" s="585"/>
      <c r="O214" s="585"/>
      <c r="P214" s="585"/>
      <c r="Q214" s="585"/>
      <c r="R214" s="585"/>
      <c r="S214" s="635"/>
      <c r="U214" s="775">
        <v>1</v>
      </c>
      <c r="V214" s="704" t="s">
        <v>50</v>
      </c>
      <c r="X214" s="448"/>
    </row>
    <row r="215" spans="1:26">
      <c r="A215" s="310"/>
      <c r="B215" s="16"/>
      <c r="C215" s="669"/>
      <c r="D215" s="2"/>
      <c r="E215" s="188"/>
      <c r="F215" s="135"/>
      <c r="G215" s="557"/>
      <c r="H215" s="646"/>
      <c r="I215" s="646"/>
      <c r="J215" s="646"/>
      <c r="K215" s="585"/>
      <c r="L215" s="585"/>
      <c r="M215" s="585"/>
      <c r="N215" s="585"/>
      <c r="O215" s="585"/>
      <c r="P215" s="585"/>
      <c r="Q215" s="585"/>
      <c r="R215" s="585"/>
      <c r="S215" s="635"/>
      <c r="U215" s="591"/>
      <c r="V215" s="635"/>
      <c r="X215" s="448"/>
    </row>
    <row r="216" spans="1:26">
      <c r="A216" s="310">
        <f>IF(ISNUMBER(G216),ROW(),"")</f>
        <v>216</v>
      </c>
      <c r="C216" s="670">
        <v>125</v>
      </c>
      <c r="D216" s="12">
        <f t="shared" ref="D216:D222" si="113">C216*PKperKW</f>
        <v>167.62776119937854</v>
      </c>
      <c r="E216" s="151" t="str">
        <f t="shared" ref="E216:E218" si="114">"SL Spuit "&amp;C216&amp;"kW / "&amp;ROUND(D216,0)&amp;"PK + "&amp;F216&amp;"m balk"</f>
        <v>SL Spuit 125kW / 168PK + 24m balk</v>
      </c>
      <c r="F216" s="135">
        <v>24</v>
      </c>
      <c r="G216" s="620">
        <f>MROUND(C216*VLOOKUP(C216,Aannames!$E$155:$J$157,COLUMNS(Aannames!$E$155:$J$155),TRUE)+(F216-24)*Aannames!$J$159,5000)</f>
        <v>3065000</v>
      </c>
      <c r="H216" s="648">
        <v>5000</v>
      </c>
      <c r="I216" s="648">
        <v>350</v>
      </c>
      <c r="J216" s="649">
        <v>100</v>
      </c>
      <c r="K216" s="594">
        <f t="shared" ref="K216:K222" si="115">MROUND($G216*(1-$F$256/100)/H216,0.05)</f>
        <v>551.70000000000005</v>
      </c>
      <c r="L216" s="594">
        <f t="shared" ref="L216:L222" si="116">MROUND($G216*(1+$F$256/100)/2*$G$263/100/I216,0.05)</f>
        <v>84.300000000000011</v>
      </c>
      <c r="M216" s="600">
        <f t="shared" ref="M216:M222" si="117">MROUND($G216*(1+$F$256/100)/2*$F$257/100/I216,0.05)</f>
        <v>505.75</v>
      </c>
      <c r="N216" s="601">
        <f t="shared" ref="N216:N222" si="118">SUM(K216:M216)</f>
        <v>1141.75</v>
      </c>
      <c r="O216" s="594">
        <f t="shared" ref="O216:O222" si="119">MROUND(IF(ISNUMBER(C216),$C216*$K$268*$F$258,0),0.05)</f>
        <v>276.75</v>
      </c>
      <c r="P216" s="600">
        <f t="shared" ref="P216:P222" si="120">MROUND($G216*J216/100/H216,0.05)</f>
        <v>613</v>
      </c>
      <c r="Q216" s="631">
        <f t="shared" ref="Q216:Q222" si="121">SUM(O216:P216)</f>
        <v>889.75</v>
      </c>
      <c r="R216" s="594">
        <f t="shared" ref="R216:R222" si="122">N216+P216</f>
        <v>1754.75</v>
      </c>
      <c r="S216" s="599">
        <f t="shared" ref="S216:S222" si="123">N216+Q216</f>
        <v>2031.5</v>
      </c>
      <c r="U216" s="603">
        <f>R216-M216*(1-U$214)</f>
        <v>1754.75</v>
      </c>
      <c r="V216" s="601">
        <f t="shared" ref="V216:V222" si="124">U216+O216</f>
        <v>2031.5</v>
      </c>
      <c r="X216" s="767">
        <f t="shared" ref="X216:X222" si="125">MROUND(IF(ISNUMBER(C216),$C216*$K$268,0),0.05)</f>
        <v>22.5</v>
      </c>
    </row>
    <row r="217" spans="1:26">
      <c r="A217" s="310">
        <f>IF(ISNUMBER(G217),ROW(),"")</f>
        <v>217</v>
      </c>
      <c r="C217" s="670">
        <v>150</v>
      </c>
      <c r="D217" s="12">
        <f t="shared" si="113"/>
        <v>201.15331343925422</v>
      </c>
      <c r="E217" s="151" t="str">
        <f t="shared" si="114"/>
        <v>SL Spuit 150kW / 201PK + 30m balk</v>
      </c>
      <c r="F217" s="135">
        <v>30</v>
      </c>
      <c r="G217" s="620">
        <f>MROUND(C217*VLOOKUP(C217,Aannames!$E$155:$J$157,COLUMNS(Aannames!$E$155:$J$155),TRUE)+(F217-24)*Aannames!$J$159,5000)</f>
        <v>3715000</v>
      </c>
      <c r="H217" s="648">
        <v>5000</v>
      </c>
      <c r="I217" s="648">
        <v>350</v>
      </c>
      <c r="J217" s="649">
        <v>100</v>
      </c>
      <c r="K217" s="594">
        <f t="shared" si="115"/>
        <v>668.7</v>
      </c>
      <c r="L217" s="594">
        <f t="shared" si="116"/>
        <v>102.15</v>
      </c>
      <c r="M217" s="600">
        <f t="shared" si="117"/>
        <v>613</v>
      </c>
      <c r="N217" s="601">
        <f t="shared" si="118"/>
        <v>1383.85</v>
      </c>
      <c r="O217" s="594">
        <f t="shared" si="119"/>
        <v>332.1</v>
      </c>
      <c r="P217" s="600">
        <f t="shared" si="120"/>
        <v>743</v>
      </c>
      <c r="Q217" s="631">
        <f t="shared" si="121"/>
        <v>1075.0999999999999</v>
      </c>
      <c r="R217" s="594">
        <f t="shared" si="122"/>
        <v>2126.85</v>
      </c>
      <c r="S217" s="599">
        <f t="shared" si="123"/>
        <v>2458.9499999999998</v>
      </c>
      <c r="U217" s="603">
        <f t="shared" ref="U217:U222" si="126">R217-M217*(1-U$214)</f>
        <v>2126.85</v>
      </c>
      <c r="V217" s="601">
        <f t="shared" si="124"/>
        <v>2458.9499999999998</v>
      </c>
      <c r="X217" s="767">
        <f t="shared" si="125"/>
        <v>27</v>
      </c>
    </row>
    <row r="218" spans="1:26">
      <c r="A218" s="310">
        <f>IF(ISNUMBER(G218),ROW(),"")</f>
        <v>218</v>
      </c>
      <c r="C218" s="670">
        <v>175</v>
      </c>
      <c r="D218" s="12">
        <f t="shared" si="113"/>
        <v>234.67886567912993</v>
      </c>
      <c r="E218" s="151" t="str">
        <f t="shared" si="114"/>
        <v>SL Spuit 175kW / 235PK + 30m balk</v>
      </c>
      <c r="F218" s="135">
        <v>30</v>
      </c>
      <c r="G218" s="620">
        <f>MROUND(C218*VLOOKUP(C218,Aannames!$E$155:$J$157,COLUMNS(Aannames!$E$155:$J$155),TRUE)+(F218-24)*Aannames!$J$159,5000)</f>
        <v>4300000</v>
      </c>
      <c r="H218" s="648">
        <v>5000</v>
      </c>
      <c r="I218" s="648">
        <v>350</v>
      </c>
      <c r="J218" s="649">
        <v>100</v>
      </c>
      <c r="K218" s="594">
        <f t="shared" si="115"/>
        <v>774</v>
      </c>
      <c r="L218" s="594">
        <f t="shared" si="116"/>
        <v>118.25</v>
      </c>
      <c r="M218" s="600">
        <f t="shared" si="117"/>
        <v>709.5</v>
      </c>
      <c r="N218" s="601">
        <f t="shared" si="118"/>
        <v>1601.75</v>
      </c>
      <c r="O218" s="594">
        <f t="shared" si="119"/>
        <v>387.45000000000005</v>
      </c>
      <c r="P218" s="600">
        <f t="shared" si="120"/>
        <v>860</v>
      </c>
      <c r="Q218" s="631">
        <f t="shared" si="121"/>
        <v>1247.45</v>
      </c>
      <c r="R218" s="594">
        <f t="shared" si="122"/>
        <v>2461.75</v>
      </c>
      <c r="S218" s="599">
        <f t="shared" si="123"/>
        <v>2849.2</v>
      </c>
      <c r="U218" s="603">
        <f t="shared" si="126"/>
        <v>2461.75</v>
      </c>
      <c r="V218" s="601">
        <f t="shared" si="124"/>
        <v>2849.2</v>
      </c>
      <c r="X218" s="767">
        <f t="shared" si="125"/>
        <v>31.5</v>
      </c>
    </row>
    <row r="219" spans="1:26">
      <c r="A219" s="310">
        <f t="shared" ref="A219:A222" si="127">IF(ISNUMBER(G219),ROW(),"")</f>
        <v>219</v>
      </c>
      <c r="C219" s="670">
        <v>200</v>
      </c>
      <c r="D219" s="12">
        <f t="shared" si="113"/>
        <v>268.20441791900566</v>
      </c>
      <c r="E219" s="151" t="str">
        <f t="shared" ref="E219:E222" si="128">"SL Spuit "&amp;C219&amp;"kW / "&amp;ROUND(D219,0)&amp;"PK + "&amp;F219&amp;"m balk"</f>
        <v>SL Spuit 200kW / 268PK + 30m balk</v>
      </c>
      <c r="F219" s="135">
        <v>30</v>
      </c>
      <c r="G219" s="620">
        <f>MROUND(C219*VLOOKUP(C219,Aannames!$E$155:$J$157,COLUMNS(Aannames!$E$155:$J$155),TRUE)+(F219-24)*Aannames!$J$159,5000)</f>
        <v>4590000</v>
      </c>
      <c r="H219" s="648">
        <v>5000</v>
      </c>
      <c r="I219" s="648">
        <v>350</v>
      </c>
      <c r="J219" s="649">
        <v>100</v>
      </c>
      <c r="K219" s="594">
        <f t="shared" si="115"/>
        <v>826.2</v>
      </c>
      <c r="L219" s="594">
        <f t="shared" si="116"/>
        <v>126.2</v>
      </c>
      <c r="M219" s="600">
        <f t="shared" si="117"/>
        <v>757.35</v>
      </c>
      <c r="N219" s="601">
        <f t="shared" si="118"/>
        <v>1709.75</v>
      </c>
      <c r="O219" s="594">
        <f t="shared" si="119"/>
        <v>442.8</v>
      </c>
      <c r="P219" s="600">
        <f t="shared" si="120"/>
        <v>918</v>
      </c>
      <c r="Q219" s="631">
        <f t="shared" si="121"/>
        <v>1360.8</v>
      </c>
      <c r="R219" s="594">
        <f t="shared" si="122"/>
        <v>2627.75</v>
      </c>
      <c r="S219" s="599">
        <f t="shared" si="123"/>
        <v>3070.55</v>
      </c>
      <c r="U219" s="603">
        <f t="shared" si="126"/>
        <v>2627.75</v>
      </c>
      <c r="V219" s="601">
        <f t="shared" si="124"/>
        <v>3070.55</v>
      </c>
      <c r="X219" s="767">
        <f t="shared" si="125"/>
        <v>36</v>
      </c>
    </row>
    <row r="220" spans="1:26">
      <c r="A220" s="310">
        <f t="shared" si="127"/>
        <v>220</v>
      </c>
      <c r="C220" s="670">
        <v>225</v>
      </c>
      <c r="D220" s="12">
        <f t="shared" si="113"/>
        <v>301.72997015888137</v>
      </c>
      <c r="E220" s="151" t="str">
        <f t="shared" si="128"/>
        <v>SL Spuit 225kW / 302PK + 36m balk</v>
      </c>
      <c r="F220" s="135">
        <v>36</v>
      </c>
      <c r="G220" s="620">
        <f>MROUND(C220*VLOOKUP(C220,Aannames!$E$155:$J$157,COLUMNS(Aannames!$E$155:$J$155),TRUE)+(F220-24)*Aannames!$J$159,5000)</f>
        <v>5330000</v>
      </c>
      <c r="H220" s="648">
        <v>5000</v>
      </c>
      <c r="I220" s="648">
        <v>350</v>
      </c>
      <c r="J220" s="649">
        <v>100</v>
      </c>
      <c r="K220" s="594">
        <f t="shared" si="115"/>
        <v>959.40000000000009</v>
      </c>
      <c r="L220" s="594">
        <f t="shared" si="116"/>
        <v>146.6</v>
      </c>
      <c r="M220" s="600">
        <f t="shared" si="117"/>
        <v>879.45</v>
      </c>
      <c r="N220" s="601">
        <f t="shared" si="118"/>
        <v>1985.45</v>
      </c>
      <c r="O220" s="594">
        <f t="shared" si="119"/>
        <v>498.15000000000003</v>
      </c>
      <c r="P220" s="600">
        <f t="shared" si="120"/>
        <v>1066</v>
      </c>
      <c r="Q220" s="631">
        <f t="shared" si="121"/>
        <v>1564.15</v>
      </c>
      <c r="R220" s="594">
        <f t="shared" si="122"/>
        <v>3051.45</v>
      </c>
      <c r="S220" s="599">
        <f t="shared" si="123"/>
        <v>3549.6000000000004</v>
      </c>
      <c r="U220" s="603">
        <f t="shared" si="126"/>
        <v>3051.45</v>
      </c>
      <c r="V220" s="601">
        <f t="shared" si="124"/>
        <v>3549.6</v>
      </c>
      <c r="X220" s="767">
        <f t="shared" si="125"/>
        <v>40.5</v>
      </c>
    </row>
    <row r="221" spans="1:26">
      <c r="A221" s="310">
        <f t="shared" si="127"/>
        <v>221</v>
      </c>
      <c r="C221" s="670">
        <v>250</v>
      </c>
      <c r="D221" s="12">
        <f t="shared" si="113"/>
        <v>335.25552239875708</v>
      </c>
      <c r="E221" s="151" t="str">
        <f t="shared" si="128"/>
        <v>SL Spuit 250kW / 335PK + 36m balk</v>
      </c>
      <c r="F221" s="135">
        <v>36</v>
      </c>
      <c r="G221" s="620">
        <f>MROUND(C221*VLOOKUP(C221,Aannames!$E$155:$J$157,COLUMNS(Aannames!$E$155:$J$155),TRUE)+(F221-24)*Aannames!$J$159,5000)</f>
        <v>5880000</v>
      </c>
      <c r="H221" s="648">
        <v>5000</v>
      </c>
      <c r="I221" s="648">
        <v>350</v>
      </c>
      <c r="J221" s="649">
        <v>100</v>
      </c>
      <c r="K221" s="594">
        <f t="shared" si="115"/>
        <v>1058.4000000000001</v>
      </c>
      <c r="L221" s="594">
        <f t="shared" si="116"/>
        <v>161.70000000000002</v>
      </c>
      <c r="M221" s="600">
        <f t="shared" si="117"/>
        <v>970.2</v>
      </c>
      <c r="N221" s="601">
        <f t="shared" si="118"/>
        <v>2190.3000000000002</v>
      </c>
      <c r="O221" s="594">
        <f t="shared" si="119"/>
        <v>553.5</v>
      </c>
      <c r="P221" s="600">
        <f t="shared" si="120"/>
        <v>1176</v>
      </c>
      <c r="Q221" s="631">
        <f t="shared" si="121"/>
        <v>1729.5</v>
      </c>
      <c r="R221" s="594">
        <f t="shared" si="122"/>
        <v>3366.3</v>
      </c>
      <c r="S221" s="599">
        <f t="shared" si="123"/>
        <v>3919.8</v>
      </c>
      <c r="U221" s="603">
        <f t="shared" si="126"/>
        <v>3366.3</v>
      </c>
      <c r="V221" s="601">
        <f t="shared" si="124"/>
        <v>3919.8</v>
      </c>
      <c r="X221" s="767">
        <f t="shared" si="125"/>
        <v>45</v>
      </c>
    </row>
    <row r="222" spans="1:26">
      <c r="A222" s="310">
        <f t="shared" si="127"/>
        <v>222</v>
      </c>
      <c r="C222" s="670">
        <v>275</v>
      </c>
      <c r="D222" s="12">
        <f t="shared" si="113"/>
        <v>368.78107463863279</v>
      </c>
      <c r="E222" s="151" t="str">
        <f t="shared" si="128"/>
        <v>SL Spuit 275kW / 369PK + 36m balk</v>
      </c>
      <c r="F222" s="135">
        <v>36</v>
      </c>
      <c r="G222" s="620">
        <f>MROUND(C222*VLOOKUP(C222,Aannames!$E$155:$J$157,COLUMNS(Aannames!$E$155:$J$155),TRUE)+(F222-24)*Aannames!$J$159,5000)</f>
        <v>6430000</v>
      </c>
      <c r="H222" s="648">
        <v>5000</v>
      </c>
      <c r="I222" s="648">
        <v>350</v>
      </c>
      <c r="J222" s="649">
        <v>100</v>
      </c>
      <c r="K222" s="594">
        <f t="shared" si="115"/>
        <v>1157.4000000000001</v>
      </c>
      <c r="L222" s="594">
        <f t="shared" si="116"/>
        <v>176.85000000000002</v>
      </c>
      <c r="M222" s="600">
        <f t="shared" si="117"/>
        <v>1060.95</v>
      </c>
      <c r="N222" s="601">
        <f t="shared" si="118"/>
        <v>2395.1999999999998</v>
      </c>
      <c r="O222" s="594">
        <f t="shared" si="119"/>
        <v>608.85</v>
      </c>
      <c r="P222" s="600">
        <f t="shared" si="120"/>
        <v>1286</v>
      </c>
      <c r="Q222" s="631">
        <f t="shared" si="121"/>
        <v>1894.85</v>
      </c>
      <c r="R222" s="594">
        <f t="shared" si="122"/>
        <v>3681.2</v>
      </c>
      <c r="S222" s="599">
        <f t="shared" si="123"/>
        <v>4290.0499999999993</v>
      </c>
      <c r="U222" s="603">
        <f t="shared" si="126"/>
        <v>3681.2</v>
      </c>
      <c r="V222" s="601">
        <f t="shared" si="124"/>
        <v>4290.05</v>
      </c>
      <c r="X222" s="767">
        <f t="shared" si="125"/>
        <v>49.5</v>
      </c>
    </row>
    <row r="223" spans="1:26">
      <c r="A223" s="147" t="str">
        <f>IF(ISNUMBER(G223),ROW(),"")</f>
        <v/>
      </c>
      <c r="C223" s="619"/>
      <c r="D223" s="35"/>
      <c r="E223" s="64"/>
      <c r="F223" s="138"/>
      <c r="G223" s="563"/>
      <c r="H223" s="636"/>
      <c r="I223" s="636"/>
      <c r="J223" s="636"/>
      <c r="K223" s="605"/>
      <c r="L223" s="605"/>
      <c r="M223" s="605"/>
      <c r="N223" s="607"/>
      <c r="O223" s="605"/>
      <c r="P223" s="605"/>
      <c r="Q223" s="605"/>
      <c r="R223" s="605"/>
      <c r="S223" s="628"/>
      <c r="U223" s="776"/>
      <c r="V223" s="628"/>
      <c r="X223" s="450"/>
    </row>
    <row r="224" spans="1:26">
      <c r="A224" s="310"/>
      <c r="C224" s="12"/>
      <c r="D224" s="12"/>
      <c r="E224" s="63"/>
      <c r="F224" s="135"/>
      <c r="G224" s="13"/>
      <c r="H224" s="664"/>
      <c r="I224" s="664"/>
      <c r="J224" s="664"/>
      <c r="K224" s="594"/>
      <c r="L224" s="594"/>
      <c r="M224" s="594"/>
      <c r="N224" s="596"/>
      <c r="O224" s="594"/>
      <c r="P224" s="594"/>
      <c r="Q224" s="594"/>
      <c r="R224" s="594"/>
      <c r="S224" s="596"/>
      <c r="U224" s="594"/>
      <c r="V224" s="596"/>
      <c r="X224" s="73"/>
    </row>
    <row r="225" spans="1:26" ht="13.5" thickBot="1">
      <c r="A225" s="310" t="str">
        <f t="shared" ref="A225:A226" si="129">IF(ISNUMBER(G225),ROW(),"")</f>
        <v/>
      </c>
      <c r="B225" s="266">
        <f>MAX($B$8:B224)+0.01</f>
        <v>5.0199999999999996</v>
      </c>
      <c r="C225" s="97" t="s">
        <v>1296</v>
      </c>
      <c r="D225" s="95"/>
      <c r="E225" s="95"/>
      <c r="F225" s="136"/>
      <c r="G225" s="95"/>
      <c r="H225" s="633"/>
      <c r="I225" s="633"/>
      <c r="J225" s="633"/>
      <c r="K225" s="633"/>
      <c r="L225" s="633"/>
      <c r="M225" s="633"/>
      <c r="N225" s="633"/>
      <c r="O225" s="633"/>
      <c r="P225" s="633"/>
      <c r="Q225" s="633"/>
      <c r="R225" s="633"/>
      <c r="S225" s="634"/>
      <c r="U225" s="774"/>
      <c r="V225" s="634"/>
      <c r="X225" s="451"/>
    </row>
    <row r="226" spans="1:26">
      <c r="A226" s="310" t="str">
        <f t="shared" si="129"/>
        <v/>
      </c>
      <c r="B226" s="16"/>
      <c r="C226" s="668"/>
      <c r="D226" s="2"/>
      <c r="E226" s="62"/>
      <c r="F226" s="135"/>
      <c r="G226" s="557"/>
      <c r="H226" s="585"/>
      <c r="I226" s="585"/>
      <c r="J226" s="585"/>
      <c r="K226" s="585"/>
      <c r="L226" s="585"/>
      <c r="M226" s="585"/>
      <c r="N226" s="585"/>
      <c r="O226" s="585"/>
      <c r="P226" s="585"/>
      <c r="Q226" s="585"/>
      <c r="R226" s="585"/>
      <c r="S226" s="635"/>
      <c r="U226" s="591"/>
      <c r="V226" s="635"/>
      <c r="X226" s="448"/>
    </row>
    <row r="227" spans="1:26">
      <c r="A227" s="310"/>
      <c r="B227" s="16"/>
      <c r="C227" s="669" t="s">
        <v>1297</v>
      </c>
      <c r="D227" s="153"/>
      <c r="E227" s="188"/>
      <c r="F227" s="536"/>
      <c r="G227" s="718"/>
      <c r="H227" s="175"/>
      <c r="I227" s="175"/>
      <c r="J227" s="175"/>
      <c r="K227" s="175"/>
      <c r="L227" s="175"/>
      <c r="M227" s="175"/>
      <c r="N227" s="175"/>
      <c r="O227" s="175"/>
      <c r="P227" s="175"/>
      <c r="Q227" s="175"/>
      <c r="R227" s="175"/>
      <c r="S227" s="749"/>
      <c r="U227" s="782"/>
      <c r="V227" s="749"/>
      <c r="X227" s="449"/>
    </row>
    <row r="228" spans="1:26">
      <c r="A228" s="310"/>
      <c r="B228" s="16"/>
      <c r="C228" s="750"/>
      <c r="D228" s="153"/>
      <c r="E228" s="188"/>
      <c r="F228" s="536"/>
      <c r="G228" s="718"/>
      <c r="H228" s="175"/>
      <c r="I228" s="175"/>
      <c r="J228" s="175"/>
      <c r="K228" s="175"/>
      <c r="L228" s="175"/>
      <c r="M228" s="175"/>
      <c r="N228" s="175"/>
      <c r="O228" s="175"/>
      <c r="P228" s="175"/>
      <c r="Q228" s="175"/>
      <c r="R228" s="175"/>
      <c r="S228" s="749"/>
      <c r="U228" s="782"/>
      <c r="V228" s="749"/>
      <c r="X228" s="449"/>
    </row>
    <row r="229" spans="1:26">
      <c r="A229" s="310"/>
      <c r="B229" s="16"/>
      <c r="C229" s="540" t="s">
        <v>44</v>
      </c>
      <c r="D229" s="541" t="s">
        <v>47</v>
      </c>
      <c r="E229" s="542" t="s">
        <v>1013</v>
      </c>
      <c r="F229" s="536"/>
      <c r="G229" s="540" t="s">
        <v>44</v>
      </c>
      <c r="H229" s="541" t="s">
        <v>47</v>
      </c>
      <c r="I229" s="542" t="s">
        <v>1013</v>
      </c>
      <c r="J229" s="175"/>
      <c r="K229" s="175"/>
      <c r="L229" s="187"/>
      <c r="M229" s="187"/>
      <c r="N229" s="540" t="s">
        <v>44</v>
      </c>
      <c r="O229" s="541" t="s">
        <v>47</v>
      </c>
      <c r="P229" s="542" t="s">
        <v>1013</v>
      </c>
      <c r="Q229" s="175"/>
      <c r="R229" s="175"/>
      <c r="S229" s="749"/>
      <c r="U229" s="782"/>
      <c r="V229" s="749"/>
      <c r="X229" s="449"/>
    </row>
    <row r="230" spans="1:26">
      <c r="A230" s="310"/>
      <c r="B230" s="16"/>
      <c r="C230" s="540"/>
      <c r="D230" s="541"/>
      <c r="E230" s="542"/>
      <c r="F230" s="536"/>
      <c r="G230" s="540"/>
      <c r="H230" s="541"/>
      <c r="I230" s="542"/>
      <c r="J230" s="175"/>
      <c r="K230" s="175"/>
      <c r="L230" s="187"/>
      <c r="M230" s="187"/>
      <c r="N230" s="540"/>
      <c r="O230" s="541"/>
      <c r="P230" s="542"/>
      <c r="Q230" s="175"/>
      <c r="R230" s="175"/>
      <c r="S230" s="749"/>
      <c r="U230" s="782"/>
      <c r="V230" s="749"/>
      <c r="X230" s="449"/>
    </row>
    <row r="231" spans="1:26">
      <c r="A231" s="310"/>
      <c r="B231" s="16"/>
      <c r="C231" s="675">
        <f>CONVERT(240,"HP","W")/1000</f>
        <v>178.96796917974487</v>
      </c>
      <c r="D231" s="182">
        <f t="shared" ref="D231:D233" si="130">CONVERT(C231,"W","HP")*1000</f>
        <v>240.00000000000003</v>
      </c>
      <c r="E231" s="151" t="s">
        <v>1302</v>
      </c>
      <c r="F231" s="536"/>
      <c r="G231" s="675">
        <f>CONVERT(173,"HP","W")/1000</f>
        <v>129.00607778373274</v>
      </c>
      <c r="H231" s="182">
        <f>CONVERT(G231,"W","HP")*1000</f>
        <v>173</v>
      </c>
      <c r="I231" s="151" t="s">
        <v>1298</v>
      </c>
      <c r="J231" s="175"/>
      <c r="K231" s="175"/>
      <c r="L231" s="187"/>
      <c r="M231" s="187"/>
      <c r="N231" s="675">
        <f>CONVERT(325,"HP","W")/1000</f>
        <v>242.35245826423781</v>
      </c>
      <c r="O231" s="182">
        <f t="shared" ref="O231" si="131">CONVERT(N231,"W","HP")*1000</f>
        <v>324.99999999999994</v>
      </c>
      <c r="P231" s="175" t="s">
        <v>1306</v>
      </c>
      <c r="Q231" s="175"/>
      <c r="R231" s="175"/>
      <c r="S231" s="749"/>
      <c r="U231" s="782"/>
      <c r="V231" s="749"/>
      <c r="X231" s="449"/>
    </row>
    <row r="232" spans="1:26">
      <c r="A232" s="310"/>
      <c r="B232" s="16"/>
      <c r="C232" s="675">
        <f>CONVERT(275,"HP","W")/1000</f>
        <v>205.06746468512432</v>
      </c>
      <c r="D232" s="182">
        <f t="shared" si="130"/>
        <v>275</v>
      </c>
      <c r="E232" s="151" t="s">
        <v>1303</v>
      </c>
      <c r="F232" s="536"/>
      <c r="G232" s="675">
        <f>CONVERT(280,"HP","W")/1000</f>
        <v>208.79596404303567</v>
      </c>
      <c r="H232" s="182">
        <f>CONVERT(G232,"W","HP")*1000</f>
        <v>279.99999999999994</v>
      </c>
      <c r="I232" s="151" t="s">
        <v>1299</v>
      </c>
      <c r="J232" s="175"/>
      <c r="K232" s="175"/>
      <c r="L232" s="453"/>
      <c r="M232" s="453"/>
      <c r="N232" s="675">
        <f>CONVERT(346,"HP","W")/1000</f>
        <v>258.01215556746547</v>
      </c>
      <c r="O232" s="182">
        <f t="shared" ref="O232" si="132">CONVERT(N232,"W","HP")*1000</f>
        <v>346</v>
      </c>
      <c r="P232" s="175" t="s">
        <v>1305</v>
      </c>
      <c r="Q232" s="175"/>
      <c r="R232" s="175"/>
      <c r="S232" s="749"/>
      <c r="U232" s="782"/>
      <c r="V232" s="749"/>
      <c r="X232" s="449"/>
    </row>
    <row r="233" spans="1:26">
      <c r="A233" s="310"/>
      <c r="B233" s="16"/>
      <c r="C233" s="675">
        <f>CONVERT(365,"HP","W")/1000</f>
        <v>272.18045312752866</v>
      </c>
      <c r="D233" s="182">
        <f t="shared" si="130"/>
        <v>365.00000000000006</v>
      </c>
      <c r="E233" s="151" t="s">
        <v>1304</v>
      </c>
      <c r="F233" s="536"/>
      <c r="G233" s="675">
        <f>CONVERT(310,"HP","W")/1000</f>
        <v>231.16696019050377</v>
      </c>
      <c r="H233" s="182">
        <f>CONVERT(G233,"W","HP")*1000</f>
        <v>310</v>
      </c>
      <c r="I233" s="151" t="s">
        <v>1300</v>
      </c>
      <c r="J233" s="175"/>
      <c r="K233" s="175"/>
      <c r="L233" s="453"/>
      <c r="M233" s="453"/>
      <c r="N233" s="675"/>
      <c r="O233" s="182"/>
      <c r="P233" s="151"/>
      <c r="Q233" s="175"/>
      <c r="R233" s="175"/>
      <c r="S233" s="749"/>
      <c r="U233" s="782"/>
      <c r="V233" s="749"/>
      <c r="X233" s="449"/>
    </row>
    <row r="234" spans="1:26">
      <c r="A234" s="310"/>
      <c r="B234" s="16"/>
      <c r="C234" s="675"/>
      <c r="D234" s="182"/>
      <c r="E234" s="151"/>
      <c r="F234" s="536"/>
      <c r="G234" s="675">
        <f>CONVERT(346,"HP","W")/1000</f>
        <v>258.01215556746547</v>
      </c>
      <c r="H234" s="182">
        <f>CONVERT(G234,"W","HP")*1000</f>
        <v>346</v>
      </c>
      <c r="I234" s="175" t="s">
        <v>1301</v>
      </c>
      <c r="J234" s="175"/>
      <c r="K234" s="175"/>
      <c r="L234" s="175"/>
      <c r="M234" s="175"/>
      <c r="N234" s="675"/>
      <c r="O234" s="182"/>
      <c r="P234" s="151"/>
      <c r="Q234" s="175"/>
      <c r="R234" s="175"/>
      <c r="S234" s="749"/>
      <c r="U234" s="782"/>
      <c r="V234" s="749"/>
      <c r="X234" s="449"/>
    </row>
    <row r="235" spans="1:26">
      <c r="A235" s="310"/>
      <c r="B235" s="16"/>
      <c r="C235" s="751"/>
      <c r="D235" s="752"/>
      <c r="E235" s="753"/>
      <c r="F235" s="754"/>
      <c r="G235" s="717"/>
      <c r="H235" s="755"/>
      <c r="I235" s="755"/>
      <c r="J235" s="755"/>
      <c r="K235" s="608"/>
      <c r="L235" s="608"/>
      <c r="M235" s="608"/>
      <c r="N235" s="607"/>
      <c r="O235" s="608"/>
      <c r="P235" s="608"/>
      <c r="Q235" s="608"/>
      <c r="R235" s="608"/>
      <c r="S235" s="628"/>
      <c r="U235" s="783"/>
      <c r="V235" s="628"/>
      <c r="X235" s="450"/>
    </row>
    <row r="236" spans="1:26">
      <c r="A236" s="310"/>
      <c r="B236" s="16"/>
      <c r="C236" s="557"/>
      <c r="D236" s="2"/>
      <c r="E236" s="188" t="s">
        <v>1308</v>
      </c>
      <c r="F236" s="135"/>
      <c r="G236" s="909"/>
      <c r="H236" s="175"/>
      <c r="I236" s="939" t="s">
        <v>1307</v>
      </c>
      <c r="J236" s="175"/>
      <c r="K236" s="585"/>
      <c r="L236" s="910"/>
      <c r="M236" s="585"/>
      <c r="N236" s="585"/>
      <c r="O236" s="585"/>
      <c r="P236" s="585"/>
      <c r="Q236" s="585"/>
      <c r="R236" s="585"/>
      <c r="S236" s="585"/>
      <c r="U236" s="585"/>
      <c r="V236" s="585"/>
      <c r="X236" s="73"/>
    </row>
    <row r="237" spans="1:26">
      <c r="A237" s="310"/>
      <c r="C237" s="12"/>
      <c r="D237" s="12"/>
      <c r="E237" s="63"/>
      <c r="F237" s="135"/>
      <c r="G237" s="13"/>
      <c r="H237" s="664"/>
      <c r="I237" s="664"/>
      <c r="J237" s="664"/>
      <c r="K237" s="594"/>
      <c r="L237" s="594"/>
      <c r="M237" s="594"/>
      <c r="N237" s="596"/>
      <c r="O237" s="594"/>
      <c r="P237" s="594"/>
      <c r="Q237" s="594"/>
      <c r="R237" s="594"/>
      <c r="S237" s="596"/>
      <c r="U237" s="594"/>
      <c r="V237" s="596"/>
      <c r="X237" s="73"/>
    </row>
    <row r="238" spans="1:26" hidden="1">
      <c r="A238" s="149"/>
      <c r="B238" s="16"/>
      <c r="C238" s="2"/>
      <c r="D238" s="2"/>
      <c r="E238" s="62"/>
      <c r="F238" s="135"/>
      <c r="G238" s="2"/>
      <c r="H238" s="585"/>
      <c r="I238" s="585"/>
      <c r="J238" s="585"/>
      <c r="K238" s="585"/>
      <c r="L238" s="585"/>
      <c r="M238" s="585"/>
      <c r="N238" s="585"/>
      <c r="O238" s="585"/>
      <c r="P238" s="585"/>
      <c r="Q238" s="585"/>
      <c r="R238" s="585"/>
      <c r="S238" s="585"/>
      <c r="T238" s="16"/>
      <c r="U238" s="585"/>
      <c r="V238" s="585"/>
      <c r="W238" s="16"/>
      <c r="X238" s="5"/>
    </row>
    <row r="239" spans="1:26" s="454" customFormat="1" ht="23.25" hidden="1" customHeight="1" thickBot="1">
      <c r="A239" s="177"/>
      <c r="B239" s="287" t="s">
        <v>973</v>
      </c>
      <c r="C239" s="294" t="s">
        <v>42</v>
      </c>
      <c r="D239" s="295"/>
      <c r="E239" s="296"/>
      <c r="F239" s="297"/>
      <c r="G239" s="297"/>
      <c r="H239" s="297"/>
      <c r="I239" s="298"/>
      <c r="J239" s="298"/>
      <c r="K239" s="298"/>
      <c r="L239" s="298"/>
      <c r="M239" s="298"/>
      <c r="N239" s="298"/>
      <c r="O239" s="298"/>
      <c r="P239" s="298"/>
      <c r="Q239" s="298"/>
      <c r="R239" s="298"/>
      <c r="S239" s="299"/>
      <c r="T239" s="178"/>
      <c r="U239" s="777"/>
      <c r="V239" s="299"/>
      <c r="W239" s="178"/>
      <c r="X239" s="179"/>
      <c r="Y239" s="180"/>
      <c r="Z239" s="180"/>
    </row>
    <row r="240" spans="1:26" hidden="1">
      <c r="A240" s="149"/>
      <c r="B240" s="16"/>
      <c r="C240" s="2"/>
      <c r="D240" s="2"/>
      <c r="E240" s="2"/>
      <c r="F240" s="2"/>
      <c r="G240" s="2"/>
      <c r="H240" s="585"/>
      <c r="I240" s="585"/>
      <c r="J240" s="585"/>
      <c r="K240" s="585"/>
      <c r="L240" s="585"/>
      <c r="M240" s="585"/>
      <c r="N240" s="585"/>
      <c r="O240" s="585"/>
      <c r="P240" s="585"/>
      <c r="Q240" s="597"/>
      <c r="R240" s="632"/>
      <c r="S240" s="632"/>
      <c r="T240" s="16"/>
      <c r="U240" s="632"/>
      <c r="V240" s="632"/>
      <c r="W240" s="16"/>
      <c r="X240" s="78"/>
      <c r="Y240" s="79"/>
      <c r="Z240" s="194"/>
    </row>
    <row r="241" spans="1:26" ht="13.5" hidden="1" thickBot="1">
      <c r="A241" s="183" t="str">
        <f t="shared" ref="A241:A247" si="133">IF(ISNUMBER(G241),ROW(),"")</f>
        <v/>
      </c>
      <c r="B241" s="266" t="s">
        <v>973</v>
      </c>
      <c r="C241" s="97" t="s">
        <v>410</v>
      </c>
      <c r="D241" s="95"/>
      <c r="E241" s="95"/>
      <c r="F241" s="136"/>
      <c r="G241" s="95"/>
      <c r="H241" s="633" t="s">
        <v>974</v>
      </c>
      <c r="I241" s="633"/>
      <c r="J241" s="633"/>
      <c r="K241" s="633"/>
      <c r="L241" s="633"/>
      <c r="M241" s="633"/>
      <c r="N241" s="633"/>
      <c r="O241" s="633"/>
      <c r="P241" s="633"/>
      <c r="Q241" s="633"/>
      <c r="R241" s="633"/>
      <c r="S241" s="634"/>
      <c r="U241" s="774"/>
      <c r="V241" s="634"/>
      <c r="X241" s="451"/>
    </row>
    <row r="242" spans="1:26" hidden="1">
      <c r="A242" s="183" t="str">
        <f t="shared" si="133"/>
        <v/>
      </c>
      <c r="B242" s="16"/>
      <c r="C242" s="800"/>
      <c r="D242" s="801"/>
      <c r="E242" s="802" t="s">
        <v>942</v>
      </c>
      <c r="F242" s="803"/>
      <c r="G242" s="557"/>
      <c r="H242" s="585"/>
      <c r="I242" s="585"/>
      <c r="J242" s="585"/>
      <c r="K242" s="585"/>
      <c r="L242" s="585"/>
      <c r="M242" s="585"/>
      <c r="N242" s="585"/>
      <c r="O242" s="585"/>
      <c r="P242" s="585"/>
      <c r="Q242" s="585"/>
      <c r="R242" s="585"/>
      <c r="S242" s="635"/>
      <c r="U242" s="775">
        <v>1</v>
      </c>
      <c r="V242" s="704" t="s">
        <v>50</v>
      </c>
      <c r="X242" s="448"/>
    </row>
    <row r="243" spans="1:26" hidden="1">
      <c r="A243" s="183">
        <f t="shared" si="133"/>
        <v>243</v>
      </c>
      <c r="C243" s="804">
        <v>92</v>
      </c>
      <c r="D243" s="805">
        <f>C243*PKperKW</f>
        <v>123.3740322427426</v>
      </c>
      <c r="E243" s="806" t="s">
        <v>411</v>
      </c>
      <c r="F243" s="803"/>
      <c r="G243" s="620">
        <v>399000</v>
      </c>
      <c r="H243" s="665">
        <v>2500</v>
      </c>
      <c r="I243" s="665">
        <v>250</v>
      </c>
      <c r="J243" s="666">
        <v>80</v>
      </c>
      <c r="K243" s="594">
        <f t="shared" ref="K243:K245" si="134">MROUND($G243*(1-$F$256/100)/H243,0.05)</f>
        <v>143.65</v>
      </c>
      <c r="L243" s="594">
        <f t="shared" ref="L243:L245" si="135">MROUND($G243*(1+$F$256/100)/2*$G$263/100/I243,0.05)</f>
        <v>15.350000000000001</v>
      </c>
      <c r="M243" s="600">
        <f t="shared" ref="M243:M245" si="136">MROUND($G243*(1+$F$256/100)/2*$F$257/100/I243,0.05)</f>
        <v>92.15</v>
      </c>
      <c r="N243" s="601">
        <f t="shared" ref="N243:N245" si="137">SUM(K243:M243)</f>
        <v>251.15</v>
      </c>
      <c r="O243" s="667">
        <f>MROUND(IF(ISNUMBER(C243),$C243*$K$268*$F$258,0),0.05)</f>
        <v>203.70000000000002</v>
      </c>
      <c r="P243" s="600">
        <f t="shared" ref="P243:P245" si="138">MROUND($G243*J243/100/H243,0.05)</f>
        <v>127.7</v>
      </c>
      <c r="Q243" s="631">
        <f t="shared" ref="Q243:Q245" si="139">SUM(O243:P243)</f>
        <v>331.40000000000003</v>
      </c>
      <c r="R243" s="594">
        <f t="shared" ref="R243:R245" si="140">N243+P243</f>
        <v>378.85</v>
      </c>
      <c r="S243" s="601">
        <f t="shared" ref="S243:S245" si="141">N243+Q243</f>
        <v>582.55000000000007</v>
      </c>
      <c r="U243" s="603">
        <f>R243-M243*(1-U$242)</f>
        <v>378.85</v>
      </c>
      <c r="V243" s="601">
        <f t="shared" ref="V243:V245" si="142">U243+O243</f>
        <v>582.55000000000007</v>
      </c>
      <c r="X243" s="767">
        <f>MROUND(IF(ISNUMBER(C243),$C243*$K$268,0),0.05)</f>
        <v>16.55</v>
      </c>
    </row>
    <row r="244" spans="1:26" hidden="1">
      <c r="A244" s="183">
        <f t="shared" si="133"/>
        <v>244</v>
      </c>
      <c r="C244" s="804">
        <v>65</v>
      </c>
      <c r="D244" s="805">
        <f>C244*PKperKW</f>
        <v>87.166435823676835</v>
      </c>
      <c r="E244" s="806" t="s">
        <v>412</v>
      </c>
      <c r="F244" s="803"/>
      <c r="G244" s="620">
        <v>635000</v>
      </c>
      <c r="H244" s="665">
        <v>2500</v>
      </c>
      <c r="I244" s="665">
        <v>250</v>
      </c>
      <c r="J244" s="666">
        <v>80</v>
      </c>
      <c r="K244" s="594">
        <f t="shared" si="134"/>
        <v>228.60000000000002</v>
      </c>
      <c r="L244" s="594">
        <f t="shared" si="135"/>
        <v>24.450000000000003</v>
      </c>
      <c r="M244" s="600">
        <f t="shared" si="136"/>
        <v>146.70000000000002</v>
      </c>
      <c r="N244" s="601">
        <f t="shared" si="137"/>
        <v>399.75</v>
      </c>
      <c r="O244" s="667">
        <f>MROUND(IF(ISNUMBER(C244),$C244*$K$268*$F$258,0),0.05)</f>
        <v>143.9</v>
      </c>
      <c r="P244" s="600">
        <f t="shared" si="138"/>
        <v>203.20000000000002</v>
      </c>
      <c r="Q244" s="631">
        <f t="shared" si="139"/>
        <v>347.1</v>
      </c>
      <c r="R244" s="594">
        <f t="shared" si="140"/>
        <v>602.95000000000005</v>
      </c>
      <c r="S244" s="601">
        <f t="shared" si="141"/>
        <v>746.85</v>
      </c>
      <c r="U244" s="603">
        <f t="shared" ref="U244:U245" si="143">R244-M244*(1-U$242)</f>
        <v>602.95000000000005</v>
      </c>
      <c r="V244" s="601">
        <f t="shared" si="142"/>
        <v>746.85</v>
      </c>
      <c r="X244" s="767">
        <f>MROUND(IF(ISNUMBER(C244),$C244*$K$268,0),0.05)</f>
        <v>11.700000000000001</v>
      </c>
    </row>
    <row r="245" spans="1:26" hidden="1">
      <c r="A245" s="183">
        <f t="shared" si="133"/>
        <v>245</v>
      </c>
      <c r="C245" s="804">
        <v>71</v>
      </c>
      <c r="D245" s="805">
        <f>C245*PKperKW</f>
        <v>95.212568361247008</v>
      </c>
      <c r="E245" s="806" t="s">
        <v>413</v>
      </c>
      <c r="F245" s="803"/>
      <c r="G245" s="620">
        <v>705000</v>
      </c>
      <c r="H245" s="665">
        <v>2500</v>
      </c>
      <c r="I245" s="665">
        <v>250</v>
      </c>
      <c r="J245" s="666">
        <v>80</v>
      </c>
      <c r="K245" s="594">
        <f t="shared" si="134"/>
        <v>253.8</v>
      </c>
      <c r="L245" s="594">
        <f t="shared" si="135"/>
        <v>27.150000000000002</v>
      </c>
      <c r="M245" s="600">
        <f t="shared" si="136"/>
        <v>162.85000000000002</v>
      </c>
      <c r="N245" s="601">
        <f t="shared" si="137"/>
        <v>443.8</v>
      </c>
      <c r="O245" s="667">
        <f>MROUND(IF(ISNUMBER(C245),$C245*$K$268*$F$258,0),0.05)</f>
        <v>157.20000000000002</v>
      </c>
      <c r="P245" s="600">
        <f t="shared" si="138"/>
        <v>225.60000000000002</v>
      </c>
      <c r="Q245" s="631">
        <f t="shared" si="139"/>
        <v>382.80000000000007</v>
      </c>
      <c r="R245" s="594">
        <f t="shared" si="140"/>
        <v>669.40000000000009</v>
      </c>
      <c r="S245" s="601">
        <f t="shared" si="141"/>
        <v>826.60000000000014</v>
      </c>
      <c r="U245" s="603">
        <f t="shared" si="143"/>
        <v>669.40000000000009</v>
      </c>
      <c r="V245" s="601">
        <f t="shared" si="142"/>
        <v>826.60000000000014</v>
      </c>
      <c r="X245" s="767">
        <f>MROUND(IF(ISNUMBER(C245),$C245*$K$268,0),0.05)</f>
        <v>12.8</v>
      </c>
    </row>
    <row r="246" spans="1:26" hidden="1">
      <c r="A246" s="183" t="str">
        <f t="shared" si="133"/>
        <v/>
      </c>
      <c r="C246" s="807"/>
      <c r="D246" s="808"/>
      <c r="E246" s="809"/>
      <c r="F246" s="810"/>
      <c r="G246" s="563"/>
      <c r="H246" s="636"/>
      <c r="I246" s="636"/>
      <c r="J246" s="636"/>
      <c r="K246" s="605"/>
      <c r="L246" s="605"/>
      <c r="M246" s="605"/>
      <c r="N246" s="607"/>
      <c r="O246" s="605"/>
      <c r="P246" s="605"/>
      <c r="Q246" s="605"/>
      <c r="R246" s="605"/>
      <c r="S246" s="628"/>
      <c r="U246" s="776"/>
      <c r="V246" s="628"/>
      <c r="X246" s="450"/>
    </row>
    <row r="247" spans="1:26" hidden="1">
      <c r="A247" s="183" t="str">
        <f t="shared" si="133"/>
        <v/>
      </c>
      <c r="B247" s="183" t="str">
        <f>IF(ISNUMBER(E247),ROW(),"")</f>
        <v/>
      </c>
      <c r="C247" s="811" t="str">
        <f>IF(ISNUMBER(G247),ROW(),"")</f>
        <v/>
      </c>
      <c r="D247" s="811" t="str">
        <f>IF(ISNUMBER(H247),ROW(),"")</f>
        <v/>
      </c>
      <c r="E247" s="811" t="str">
        <f>IF(ISNUMBER(I247),ROW(),"")</f>
        <v/>
      </c>
      <c r="F247" s="812"/>
      <c r="G247" s="183" t="str">
        <f>IF(ISNUMBER(J247),ROW(),"")</f>
        <v/>
      </c>
      <c r="H247" s="183" t="str">
        <f t="shared" ref="H247:N247" si="144">IF(ISNUMBER(K247),ROW(),"")</f>
        <v/>
      </c>
      <c r="I247" s="183" t="str">
        <f t="shared" si="144"/>
        <v/>
      </c>
      <c r="J247" s="183" t="str">
        <f t="shared" si="144"/>
        <v/>
      </c>
      <c r="K247" s="183" t="str">
        <f t="shared" si="144"/>
        <v/>
      </c>
      <c r="L247" s="183" t="str">
        <f t="shared" si="144"/>
        <v/>
      </c>
      <c r="M247" s="183" t="str">
        <f t="shared" si="144"/>
        <v/>
      </c>
      <c r="N247" s="183" t="str">
        <f t="shared" si="144"/>
        <v/>
      </c>
      <c r="O247" s="183" t="str">
        <f>IF(ISNUMBER(S247),ROW(),"")</f>
        <v/>
      </c>
      <c r="P247" s="183" t="str">
        <f>IF(ISNUMBER(T247),ROW(),"")</f>
        <v/>
      </c>
      <c r="Q247" s="183" t="str">
        <f>IF(ISNUMBER(#REF!),ROW(),"")</f>
        <v/>
      </c>
      <c r="R247" s="183"/>
      <c r="S247" s="183" t="str">
        <f>IF(ISNUMBER(#REF!),ROW(),"")</f>
        <v/>
      </c>
      <c r="T247" s="183" t="str">
        <f>IF(ISNUMBER(#REF!),ROW(),"")</f>
        <v/>
      </c>
      <c r="U247" s="310"/>
      <c r="V247" s="310" t="str">
        <f>IF(ISNUMBER(#REF!),ROW(),"")</f>
        <v/>
      </c>
      <c r="W247" s="310" t="str">
        <f>IF(ISNUMBER(#REF!),ROW(),"")</f>
        <v/>
      </c>
      <c r="X247" s="183"/>
    </row>
    <row r="248" spans="1:26" hidden="1">
      <c r="B248" s="280" t="str">
        <f t="shared" ref="B248:B250" si="145">IF(ISNUMBER(E248),ROW(),"")</f>
        <v/>
      </c>
      <c r="C248" s="801"/>
      <c r="D248" s="801"/>
      <c r="E248" s="801"/>
      <c r="F248" s="803"/>
      <c r="G248" s="2"/>
      <c r="H248" s="2"/>
      <c r="I248" s="2"/>
      <c r="J248" s="2"/>
      <c r="K248" s="2"/>
      <c r="L248" s="2"/>
      <c r="M248" s="2"/>
      <c r="N248" s="2"/>
      <c r="O248" s="2"/>
      <c r="P248" s="2"/>
      <c r="Q248" s="2"/>
      <c r="R248" s="2"/>
      <c r="S248" s="2"/>
      <c r="U248" s="2"/>
      <c r="V248" s="2"/>
    </row>
    <row r="249" spans="1:26" s="454" customFormat="1" ht="23.25" customHeight="1" thickBot="1">
      <c r="A249" s="177"/>
      <c r="B249" s="310" t="str">
        <f t="shared" si="145"/>
        <v/>
      </c>
      <c r="C249" s="294" t="s">
        <v>40</v>
      </c>
      <c r="D249" s="295"/>
      <c r="E249" s="296"/>
      <c r="F249" s="297"/>
      <c r="G249" s="297"/>
      <c r="H249" s="297"/>
      <c r="I249" s="298"/>
      <c r="J249" s="298"/>
      <c r="K249" s="298"/>
      <c r="L249" s="298"/>
      <c r="M249" s="298"/>
      <c r="N249" s="298"/>
      <c r="O249" s="298"/>
      <c r="P249" s="298"/>
      <c r="Q249" s="298"/>
      <c r="R249" s="298"/>
      <c r="S249" s="299"/>
      <c r="T249" s="178"/>
      <c r="U249" s="777"/>
      <c r="V249" s="299"/>
      <c r="W249" s="178"/>
      <c r="X249" s="179"/>
      <c r="Y249" s="180"/>
      <c r="Z249" s="180"/>
    </row>
    <row r="250" spans="1:26">
      <c r="B250" s="310" t="str">
        <f t="shared" si="145"/>
        <v/>
      </c>
      <c r="C250" s="2"/>
      <c r="D250" s="2"/>
      <c r="E250" s="2"/>
      <c r="F250" s="135"/>
      <c r="G250" s="2"/>
      <c r="H250" s="2"/>
      <c r="I250" s="2"/>
      <c r="J250" s="2"/>
      <c r="K250" s="2"/>
      <c r="L250" s="2"/>
      <c r="M250" s="2"/>
      <c r="N250" s="2"/>
      <c r="O250" s="2"/>
      <c r="P250" s="2"/>
      <c r="Q250" s="2"/>
      <c r="R250" s="2"/>
      <c r="S250" s="2"/>
      <c r="U250" s="2"/>
      <c r="V250" s="2"/>
    </row>
    <row r="251" spans="1:26">
      <c r="C251" s="14" t="s">
        <v>1210</v>
      </c>
      <c r="D251" s="2"/>
      <c r="E251" s="2"/>
      <c r="F251" s="135"/>
      <c r="G251" s="2"/>
      <c r="H251" s="2"/>
      <c r="I251" s="2"/>
      <c r="J251" s="2"/>
      <c r="K251" s="2"/>
      <c r="L251" s="2"/>
      <c r="M251" s="2"/>
      <c r="N251" s="2"/>
      <c r="O251" s="2"/>
      <c r="P251" s="2"/>
      <c r="Q251" s="2"/>
      <c r="R251" s="2"/>
      <c r="S251" s="2"/>
      <c r="U251" s="2"/>
      <c r="V251" s="2"/>
    </row>
    <row r="252" spans="1:26">
      <c r="C252" s="14"/>
      <c r="D252" s="2"/>
      <c r="E252" s="2"/>
      <c r="F252" s="135"/>
      <c r="G252" s="2"/>
      <c r="H252" s="2"/>
      <c r="I252" s="2"/>
      <c r="J252" s="2"/>
      <c r="K252" s="2"/>
      <c r="L252" s="2"/>
      <c r="M252" s="2"/>
      <c r="N252" s="2"/>
      <c r="O252" s="2"/>
      <c r="P252" s="2"/>
      <c r="Q252" s="2"/>
      <c r="R252" s="2"/>
      <c r="S252" s="2"/>
      <c r="U252" s="2"/>
      <c r="V252" s="2"/>
    </row>
    <row r="253" spans="1:26">
      <c r="C253" s="3">
        <v>1</v>
      </c>
      <c r="D253" s="2" t="s">
        <v>67</v>
      </c>
      <c r="E253" s="2"/>
      <c r="F253" s="135"/>
      <c r="G253" s="2"/>
      <c r="H253" s="2"/>
      <c r="I253" s="2"/>
      <c r="J253" s="2"/>
      <c r="K253" s="2"/>
      <c r="L253" s="2"/>
      <c r="M253" s="2"/>
      <c r="N253" s="2"/>
      <c r="O253" s="2"/>
      <c r="P253" s="2"/>
      <c r="Q253" s="2"/>
      <c r="R253" s="2"/>
      <c r="S253" s="2"/>
      <c r="U253" s="2"/>
      <c r="V253" s="2"/>
    </row>
    <row r="254" spans="1:26">
      <c r="C254" s="3">
        <f>MAX($C$253:C253)+1</f>
        <v>2</v>
      </c>
      <c r="D254" s="2" t="s">
        <v>59</v>
      </c>
      <c r="E254" s="2"/>
      <c r="F254" s="135"/>
      <c r="G254" s="2"/>
      <c r="H254" s="2"/>
      <c r="I254" s="2"/>
      <c r="J254" s="2"/>
      <c r="K254" s="2"/>
      <c r="L254" s="2"/>
      <c r="M254" s="2"/>
      <c r="N254" s="2"/>
      <c r="O254" s="2"/>
      <c r="P254" s="2"/>
      <c r="Q254" s="2"/>
      <c r="R254" s="2"/>
      <c r="S254" s="2"/>
      <c r="U254" s="2"/>
      <c r="V254" s="2"/>
    </row>
    <row r="255" spans="1:26">
      <c r="C255" s="3">
        <f>MAX($C$253:C254)+1</f>
        <v>3</v>
      </c>
      <c r="D255" s="2" t="s">
        <v>524</v>
      </c>
      <c r="E255" s="2"/>
      <c r="F255" s="135"/>
      <c r="G255" s="2"/>
      <c r="H255" s="2"/>
      <c r="I255" s="2"/>
      <c r="J255" s="2"/>
      <c r="K255" s="2"/>
      <c r="L255" s="2"/>
      <c r="M255" s="2"/>
      <c r="N255" s="2"/>
      <c r="O255" s="2"/>
      <c r="P255" s="2"/>
      <c r="Q255" s="2"/>
      <c r="R255" s="2"/>
      <c r="S255" s="2"/>
      <c r="U255" s="2"/>
      <c r="V255" s="2"/>
    </row>
    <row r="256" spans="1:26">
      <c r="C256" s="3">
        <f>MAX($C$253:C255)+1</f>
        <v>4</v>
      </c>
      <c r="D256" s="2" t="s">
        <v>58</v>
      </c>
      <c r="E256" s="2"/>
      <c r="F256" s="9">
        <f>Skroot.Perc</f>
        <v>10</v>
      </c>
      <c r="G256" s="2" t="s">
        <v>97</v>
      </c>
      <c r="H256" s="69"/>
      <c r="I256" s="2"/>
      <c r="J256" s="2"/>
      <c r="K256" s="2"/>
      <c r="L256" s="2"/>
      <c r="M256" s="2"/>
    </row>
    <row r="257" spans="1:21">
      <c r="C257" s="3">
        <f>MAX($C$253:C256)+1</f>
        <v>5</v>
      </c>
      <c r="D257" s="2" t="s">
        <v>525</v>
      </c>
      <c r="E257" s="2"/>
      <c r="F257" s="9">
        <f>Rente.Perc</f>
        <v>10.5</v>
      </c>
      <c r="G257" s="2" t="s">
        <v>98</v>
      </c>
      <c r="H257" s="2"/>
      <c r="I257" s="2"/>
      <c r="J257" s="2"/>
      <c r="K257" s="2"/>
      <c r="L257" s="2"/>
      <c r="M257" s="2"/>
      <c r="N257" s="2"/>
      <c r="O257" s="2"/>
    </row>
    <row r="258" spans="1:21">
      <c r="C258" s="3">
        <f>MAX($C$253:C257)+1</f>
        <v>6</v>
      </c>
      <c r="D258" s="153" t="s">
        <v>386</v>
      </c>
      <c r="E258" s="2"/>
      <c r="F258" s="223">
        <f>Diesel.Gebruik</f>
        <v>12.3</v>
      </c>
      <c r="G258" s="2" t="s">
        <v>57</v>
      </c>
      <c r="H258" s="2" t="str">
        <f>Aannames!D60</f>
        <v xml:space="preserve">Dieselprys (Handel) = </v>
      </c>
      <c r="I258" s="69"/>
      <c r="K258" s="11">
        <f>Diesel.Handel</f>
        <v>12.3</v>
      </c>
      <c r="L258" s="184" t="str">
        <f>Aannames!G60</f>
        <v>per liter</v>
      </c>
      <c r="N258" s="2"/>
      <c r="O258" s="2"/>
      <c r="P258" s="2" t="str">
        <f>Aannames!$K60</f>
        <v>(270.00c x 80% soos vanaf April 2016)</v>
      </c>
    </row>
    <row r="259" spans="1:21">
      <c r="C259" s="3"/>
      <c r="D259" s="2"/>
      <c r="E259" s="2"/>
      <c r="F259" s="29"/>
      <c r="G259" s="2"/>
      <c r="H259" s="2" t="str">
        <f>Aannames!D61</f>
        <v>Dieselkorting =</v>
      </c>
      <c r="I259" s="69"/>
      <c r="K259" s="185">
        <f>Diesel.Korting.Sent</f>
        <v>290</v>
      </c>
      <c r="L259" s="2" t="str">
        <f>Aannames!$G$61</f>
        <v>sent per liter x 80% =</v>
      </c>
      <c r="M259" s="2"/>
      <c r="N259" s="185">
        <f>Aannames!$I$61</f>
        <v>232</v>
      </c>
      <c r="O259" s="2" t="str">
        <f>Aannames!$J$61</f>
        <v>sent/liter</v>
      </c>
      <c r="P259" s="2" t="str">
        <f>Aannames!$K61</f>
        <v>(250.00c x 80% soos vanaf April 2015)</v>
      </c>
    </row>
    <row r="260" spans="1:21">
      <c r="C260" s="3"/>
      <c r="D260" s="2"/>
      <c r="E260" s="2"/>
      <c r="F260" s="29"/>
      <c r="G260" s="2"/>
      <c r="H260" s="2" t="str">
        <f>Aannames!D62</f>
        <v>Dieselprys (na korting) =</v>
      </c>
      <c r="I260" s="69"/>
      <c r="K260" s="224">
        <f>K258-N259/100</f>
        <v>9.98</v>
      </c>
      <c r="L260" s="225" t="s">
        <v>236</v>
      </c>
      <c r="M260" s="2"/>
      <c r="N260" s="2"/>
      <c r="O260" s="2"/>
      <c r="P260" s="2" t="str">
        <f>Aannames!$K62</f>
        <v>(187.80c x 80% soos vanaf April 2014)</v>
      </c>
    </row>
    <row r="261" spans="1:21">
      <c r="C261" s="14" t="s">
        <v>115</v>
      </c>
      <c r="D261" s="2"/>
      <c r="E261" s="2"/>
      <c r="F261" s="135"/>
      <c r="G261" s="8"/>
      <c r="H261" s="2"/>
      <c r="I261" s="69"/>
      <c r="J261" s="69"/>
      <c r="K261" s="69"/>
      <c r="L261" s="69"/>
    </row>
    <row r="262" spans="1:21">
      <c r="C262" s="14"/>
      <c r="D262" s="2"/>
      <c r="E262" s="2"/>
      <c r="F262" s="135"/>
      <c r="G262" s="8"/>
      <c r="H262" s="2"/>
      <c r="I262" s="2"/>
      <c r="J262" s="2"/>
      <c r="K262" s="2"/>
      <c r="L262" s="2"/>
      <c r="M262" s="2"/>
      <c r="N262" s="2"/>
      <c r="O262" s="2"/>
      <c r="P262" s="2"/>
    </row>
    <row r="263" spans="1:21">
      <c r="C263" s="3">
        <f>MAX($C$253:C262)+1</f>
        <v>7</v>
      </c>
      <c r="D263" s="2" t="s">
        <v>526</v>
      </c>
      <c r="E263" s="2"/>
      <c r="F263" s="135"/>
      <c r="G263" s="9">
        <f>Aannames!F112</f>
        <v>1.75</v>
      </c>
      <c r="H263" s="2" t="s">
        <v>98</v>
      </c>
      <c r="I263" s="2"/>
      <c r="J263" s="2"/>
      <c r="K263" s="2"/>
      <c r="L263" s="2"/>
      <c r="M263" s="2"/>
    </row>
    <row r="264" spans="1:21">
      <c r="C264" s="3">
        <f>MAX($C$253:C263)+1</f>
        <v>8</v>
      </c>
      <c r="D264" s="2" t="s">
        <v>527</v>
      </c>
      <c r="E264" s="2"/>
      <c r="F264" s="135"/>
      <c r="G264" s="40" t="s">
        <v>116</v>
      </c>
      <c r="H264" s="2" t="s">
        <v>99</v>
      </c>
      <c r="I264" s="2"/>
      <c r="J264" s="2"/>
      <c r="K264" s="2"/>
      <c r="L264" s="2"/>
      <c r="M264" s="2"/>
    </row>
    <row r="265" spans="1:21">
      <c r="C265" s="3"/>
      <c r="D265" s="2"/>
      <c r="E265" s="2"/>
      <c r="F265" s="135"/>
      <c r="G265" s="9"/>
      <c r="H265" s="2"/>
      <c r="I265" s="2"/>
      <c r="J265" s="2"/>
      <c r="K265" s="2"/>
      <c r="L265" s="2"/>
      <c r="M265" s="2"/>
    </row>
    <row r="266" spans="1:21">
      <c r="C266" s="3">
        <f>MAX($C$253:C264)+1</f>
        <v>9</v>
      </c>
      <c r="D266" s="2" t="s">
        <v>79</v>
      </c>
      <c r="E266" s="2"/>
      <c r="F266" s="135"/>
      <c r="G266" s="13"/>
      <c r="H266" s="2"/>
      <c r="I266" s="2"/>
      <c r="J266" s="2"/>
      <c r="K266" s="2"/>
      <c r="L266" s="2"/>
      <c r="M266" s="2"/>
    </row>
    <row r="267" spans="1:21">
      <c r="C267" s="3"/>
      <c r="D267" s="2"/>
      <c r="E267" s="2"/>
      <c r="F267" s="135"/>
      <c r="G267" s="2"/>
      <c r="H267" s="13"/>
      <c r="I267" s="2"/>
      <c r="J267" s="2"/>
      <c r="K267" s="2"/>
      <c r="L267" s="2"/>
      <c r="M267" s="2"/>
      <c r="N267" s="2"/>
    </row>
    <row r="268" spans="1:21">
      <c r="C268" s="3">
        <f>MAX($C$253:C267)+1</f>
        <v>10</v>
      </c>
      <c r="D268" s="2" t="s">
        <v>96</v>
      </c>
      <c r="E268" s="2"/>
      <c r="F268" s="9">
        <v>60</v>
      </c>
      <c r="G268" s="2" t="s">
        <v>100</v>
      </c>
      <c r="H268" s="9">
        <v>0.3</v>
      </c>
      <c r="I268" s="2" t="s">
        <v>54</v>
      </c>
      <c r="J268" s="69"/>
      <c r="K268" s="10">
        <f>F268/100*H268</f>
        <v>0.18</v>
      </c>
      <c r="L268" s="2" t="s">
        <v>53</v>
      </c>
      <c r="N268" s="2"/>
    </row>
    <row r="269" spans="1:21">
      <c r="A269" s="92"/>
      <c r="C269" s="3"/>
      <c r="D269" s="2"/>
      <c r="E269" s="2"/>
      <c r="F269" s="135"/>
      <c r="G269" s="9"/>
      <c r="H269" s="2"/>
      <c r="I269" s="9"/>
      <c r="J269" s="2"/>
      <c r="K269" s="10"/>
      <c r="L269" s="2"/>
      <c r="M269" s="2"/>
      <c r="N269" s="2"/>
    </row>
    <row r="270" spans="1:21">
      <c r="C270" s="3"/>
      <c r="D270" s="2"/>
      <c r="E270" s="2"/>
      <c r="F270" s="135"/>
      <c r="G270" s="69"/>
      <c r="H270" s="69"/>
      <c r="I270" s="69"/>
      <c r="J270" s="69"/>
      <c r="K270" s="69"/>
      <c r="P270" s="2"/>
      <c r="Q270" s="2"/>
      <c r="R270" s="2"/>
      <c r="U270" s="2"/>
    </row>
    <row r="271" spans="1:21">
      <c r="A271" s="92"/>
      <c r="C271" s="466" t="str">
        <f>Aannames!B120</f>
        <v>Spesifiek tot self-aangedrewe stropers alleenlik</v>
      </c>
      <c r="D271" s="460"/>
      <c r="E271" s="460"/>
      <c r="F271" s="452"/>
      <c r="G271" s="452"/>
      <c r="H271" s="452"/>
      <c r="I271" s="452"/>
      <c r="J271" s="452"/>
      <c r="K271" s="452"/>
      <c r="L271" s="452"/>
      <c r="P271" s="2"/>
      <c r="Q271" s="2"/>
      <c r="R271" s="2"/>
      <c r="U271" s="2"/>
    </row>
    <row r="272" spans="1:21">
      <c r="A272" s="92"/>
      <c r="C272" s="458"/>
      <c r="D272" s="460"/>
      <c r="E272" s="460"/>
      <c r="F272" s="452"/>
      <c r="G272" s="452"/>
      <c r="H272" s="452"/>
      <c r="I272" s="452"/>
      <c r="J272" s="452"/>
      <c r="K272" s="452"/>
      <c r="L272" s="452"/>
      <c r="P272" s="2"/>
      <c r="Q272" s="2"/>
      <c r="R272" s="2"/>
      <c r="U272" s="2"/>
    </row>
    <row r="273" spans="1:22">
      <c r="A273" s="310"/>
      <c r="C273" s="891">
        <f>MAX($C$253:C272)+1</f>
        <v>11</v>
      </c>
      <c r="D273" s="460" t="str">
        <f>Aannames!C122</f>
        <v>Die aankoopprys van self-aangedrewe stropers word bereken volgens 'n glyskaalformule wat die aankoopprys per kW gelydelik aanpas tussen kategorieë.</v>
      </c>
      <c r="E273" s="460"/>
      <c r="F273" s="452"/>
      <c r="G273" s="452"/>
      <c r="H273" s="452"/>
      <c r="I273" s="452"/>
      <c r="J273" s="452"/>
      <c r="K273" s="452"/>
      <c r="L273" s="452"/>
      <c r="P273" s="2"/>
      <c r="Q273" s="2"/>
      <c r="R273" s="2"/>
      <c r="U273" s="2"/>
    </row>
    <row r="274" spans="1:22">
      <c r="A274" s="310"/>
      <c r="C274" s="458"/>
      <c r="D274" s="460"/>
      <c r="E274" s="460"/>
      <c r="F274" s="452"/>
      <c r="G274" s="452"/>
      <c r="H274" s="452"/>
      <c r="I274" s="452"/>
      <c r="J274" s="452"/>
      <c r="K274" s="452"/>
      <c r="L274" s="452"/>
      <c r="P274" s="2"/>
      <c r="Q274" s="2"/>
      <c r="R274" s="2"/>
      <c r="U274" s="2"/>
    </row>
    <row r="275" spans="1:22">
      <c r="C275" s="891">
        <f>MAX($C$253:C274)+1</f>
        <v>12</v>
      </c>
      <c r="D275" s="459" t="str">
        <f>Aannames!C124</f>
        <v>Gemiddelde aankoopprys per kilowatt (R/kW) vir self-aangedrewe stropers sonder tafels:</v>
      </c>
      <c r="E275" s="460"/>
      <c r="F275" s="460"/>
      <c r="G275" s="460"/>
      <c r="H275" s="460"/>
      <c r="I275" s="158"/>
      <c r="J275" s="158"/>
      <c r="K275" s="158"/>
      <c r="L275" s="158"/>
      <c r="N275" s="2"/>
      <c r="O275" s="2"/>
      <c r="P275" s="2"/>
      <c r="Q275" s="2"/>
      <c r="R275" s="2"/>
      <c r="S275" s="2"/>
      <c r="U275" s="2"/>
      <c r="V275" s="2"/>
    </row>
    <row r="276" spans="1:22" ht="4.5" customHeight="1">
      <c r="A276" s="310"/>
      <c r="C276" s="873"/>
      <c r="D276" s="459"/>
      <c r="E276" s="460"/>
      <c r="F276" s="460"/>
      <c r="G276" s="460"/>
      <c r="H276" s="460"/>
      <c r="I276" s="158"/>
      <c r="J276" s="158"/>
      <c r="K276" s="158"/>
      <c r="L276" s="158"/>
      <c r="N276" s="2"/>
      <c r="O276" s="2"/>
      <c r="P276" s="2"/>
      <c r="Q276" s="2"/>
      <c r="R276" s="2"/>
      <c r="S276" s="2"/>
      <c r="U276" s="2"/>
      <c r="V276" s="2"/>
    </row>
    <row r="277" spans="1:22">
      <c r="A277" s="310"/>
      <c r="C277" s="873"/>
      <c r="D277" s="459"/>
      <c r="E277" s="460"/>
      <c r="F277" s="466" t="str">
        <f>Aannames!E125</f>
        <v>kW kategorie</v>
      </c>
      <c r="G277" s="466"/>
      <c r="H277" s="466" t="str">
        <f>Aannames!G125</f>
        <v>pK kategorie</v>
      </c>
      <c r="I277" s="485"/>
      <c r="J277" s="482"/>
      <c r="K277" s="158"/>
      <c r="L277" s="158"/>
      <c r="N277" s="2"/>
      <c r="O277" s="2"/>
      <c r="P277" s="2"/>
      <c r="Q277" s="2"/>
      <c r="R277" s="2"/>
      <c r="S277" s="2"/>
      <c r="U277" s="2"/>
      <c r="V277" s="2"/>
    </row>
    <row r="278" spans="1:22">
      <c r="A278" s="310"/>
      <c r="C278" s="873"/>
      <c r="D278" s="459"/>
      <c r="E278" s="458" t="str">
        <f>Aannames!D126</f>
        <v>Klas 4&amp;5</v>
      </c>
      <c r="F278" s="547">
        <f>Aannames!E126</f>
        <v>0</v>
      </c>
      <c r="G278" s="452" t="str">
        <f>Aannames!F126</f>
        <v>- 199</v>
      </c>
      <c r="H278" s="547">
        <f>Aannames!G126</f>
        <v>0</v>
      </c>
      <c r="I278" s="452" t="str">
        <f>Aannames!H126</f>
        <v>- 269</v>
      </c>
      <c r="J278" s="158"/>
      <c r="K278" s="548">
        <f>Aannames!J126</f>
        <v>14200</v>
      </c>
      <c r="L278" s="460" t="str">
        <f>Aannames!K126</f>
        <v>- 14,750 per kW</v>
      </c>
      <c r="N278" s="2"/>
      <c r="O278" s="2"/>
      <c r="P278" s="2"/>
      <c r="Q278" s="2"/>
      <c r="R278" s="2"/>
      <c r="S278" s="2"/>
      <c r="U278" s="2"/>
      <c r="V278" s="2"/>
    </row>
    <row r="279" spans="1:22">
      <c r="A279" s="310"/>
      <c r="C279" s="873"/>
      <c r="D279" s="459"/>
      <c r="E279" s="458" t="str">
        <f>Aannames!D127</f>
        <v>Klas 6</v>
      </c>
      <c r="F279" s="547">
        <f>Aannames!E127</f>
        <v>200</v>
      </c>
      <c r="G279" s="452" t="str">
        <f>Aannames!F127</f>
        <v>- 239</v>
      </c>
      <c r="H279" s="547">
        <f>Aannames!G127</f>
        <v>270</v>
      </c>
      <c r="I279" s="452" t="str">
        <f>Aannames!H127</f>
        <v>- 319</v>
      </c>
      <c r="J279" s="158"/>
      <c r="K279" s="548">
        <f>Aannames!J127</f>
        <v>14750</v>
      </c>
      <c r="L279" s="460" t="str">
        <f>Aannames!K127</f>
        <v>- 14,750 per kW</v>
      </c>
      <c r="N279" s="2"/>
      <c r="O279" s="2"/>
      <c r="P279" s="2"/>
      <c r="Q279" s="2"/>
      <c r="R279" s="2"/>
      <c r="S279" s="2"/>
      <c r="U279" s="2"/>
      <c r="V279" s="2"/>
    </row>
    <row r="280" spans="1:22">
      <c r="A280" s="310"/>
      <c r="C280" s="873"/>
      <c r="D280" s="459"/>
      <c r="E280" s="458" t="str">
        <f>Aannames!D128</f>
        <v>Klas 7</v>
      </c>
      <c r="F280" s="547">
        <f>Aannames!E128</f>
        <v>240</v>
      </c>
      <c r="G280" s="452" t="str">
        <f>Aannames!F128</f>
        <v>- 279</v>
      </c>
      <c r="H280" s="547">
        <f>Aannames!G128</f>
        <v>320</v>
      </c>
      <c r="I280" s="452" t="str">
        <f>Aannames!H128</f>
        <v>- 374</v>
      </c>
      <c r="J280" s="158"/>
      <c r="K280" s="548">
        <f>Aannames!J128</f>
        <v>14750</v>
      </c>
      <c r="L280" s="460" t="str">
        <f>Aannames!K128</f>
        <v>- 14,000 per kW</v>
      </c>
      <c r="N280" s="2"/>
      <c r="O280" s="2"/>
      <c r="P280" s="2"/>
      <c r="Q280" s="2"/>
      <c r="R280" s="2"/>
      <c r="S280" s="2"/>
      <c r="U280" s="2"/>
      <c r="V280" s="2"/>
    </row>
    <row r="281" spans="1:22">
      <c r="A281" s="310"/>
      <c r="C281" s="873"/>
      <c r="D281" s="459"/>
      <c r="E281" s="458" t="str">
        <f>Aannames!D129</f>
        <v>Klas 8</v>
      </c>
      <c r="F281" s="547">
        <f>Aannames!E129</f>
        <v>280</v>
      </c>
      <c r="G281" s="452" t="str">
        <f>Aannames!F129</f>
        <v>- 319</v>
      </c>
      <c r="H281" s="547">
        <f>Aannames!G129</f>
        <v>375</v>
      </c>
      <c r="I281" s="452" t="str">
        <f>Aannames!H129</f>
        <v>- 429</v>
      </c>
      <c r="J281" s="158"/>
      <c r="K281" s="548">
        <f>Aannames!J129</f>
        <v>14000</v>
      </c>
      <c r="L281" s="460" t="str">
        <f>Aannames!K129</f>
        <v>- 13,500 per kW</v>
      </c>
      <c r="N281" s="2"/>
      <c r="O281" s="2"/>
      <c r="P281" s="2"/>
      <c r="Q281" s="2"/>
      <c r="R281" s="2"/>
      <c r="S281" s="2"/>
      <c r="U281" s="2"/>
      <c r="V281" s="2"/>
    </row>
    <row r="282" spans="1:22">
      <c r="A282" s="310"/>
      <c r="C282" s="879"/>
      <c r="D282" s="459"/>
      <c r="E282" s="458" t="str">
        <f>Aannames!D130</f>
        <v>Klas 9</v>
      </c>
      <c r="F282" s="547">
        <f>Aannames!E130</f>
        <v>320</v>
      </c>
      <c r="G282" s="452" t="str">
        <f>Aannames!F130</f>
        <v>- 359</v>
      </c>
      <c r="H282" s="547">
        <f>Aannames!G130</f>
        <v>430</v>
      </c>
      <c r="I282" s="452" t="str">
        <f>Aannames!H130</f>
        <v>- 484</v>
      </c>
      <c r="J282" s="158"/>
      <c r="K282" s="548">
        <f>Aannames!J130</f>
        <v>13500</v>
      </c>
      <c r="L282" s="460" t="str">
        <f>Aannames!K130</f>
        <v>- 12,665 per kW</v>
      </c>
      <c r="N282" s="2"/>
      <c r="O282" s="2"/>
      <c r="P282" s="2"/>
      <c r="Q282" s="2"/>
      <c r="R282" s="2"/>
      <c r="S282" s="2"/>
      <c r="U282" s="2"/>
      <c r="V282" s="2"/>
    </row>
    <row r="283" spans="1:22">
      <c r="A283" s="310"/>
      <c r="C283" s="879"/>
      <c r="D283" s="459"/>
      <c r="E283" s="458" t="str">
        <f>Aannames!D131</f>
        <v>Klas 10</v>
      </c>
      <c r="F283" s="547">
        <f>Aannames!E131</f>
        <v>360</v>
      </c>
      <c r="G283" s="452" t="str">
        <f>Aannames!F131</f>
        <v>+</v>
      </c>
      <c r="H283" s="547">
        <f>Aannames!G131</f>
        <v>485</v>
      </c>
      <c r="I283" s="452" t="str">
        <f>Aannames!H131</f>
        <v>+</v>
      </c>
      <c r="J283" s="158"/>
      <c r="K283" s="548">
        <f>Aannames!J131</f>
        <v>12665</v>
      </c>
      <c r="L283" s="460" t="str">
        <f>Aannames!K131</f>
        <v>per kW</v>
      </c>
      <c r="N283" s="2"/>
      <c r="O283" s="2"/>
      <c r="P283" s="2"/>
      <c r="Q283" s="2"/>
      <c r="R283" s="2"/>
      <c r="S283" s="2"/>
      <c r="U283" s="2"/>
      <c r="V283" s="2"/>
    </row>
    <row r="284" spans="1:22">
      <c r="C284" s="452"/>
      <c r="D284" s="158"/>
      <c r="E284" s="158"/>
      <c r="F284" s="486"/>
      <c r="G284" s="222"/>
      <c r="H284" s="482"/>
      <c r="I284" s="222"/>
      <c r="J284" s="158"/>
      <c r="K284" s="158"/>
      <c r="L284" s="460"/>
    </row>
    <row r="285" spans="1:22">
      <c r="C285" s="538">
        <f>MAX($C$253:C284)+1</f>
        <v>13</v>
      </c>
      <c r="D285" s="459" t="str">
        <f>Aannames!C134</f>
        <v>Addisionele koste van 'n optel-tafel wat by stroper se aankoopprys gevoeg word:</v>
      </c>
      <c r="E285" s="460"/>
      <c r="F285" s="460"/>
      <c r="G285" s="460"/>
      <c r="H285" s="460"/>
      <c r="I285" s="158"/>
      <c r="J285" s="158"/>
      <c r="K285" s="158"/>
      <c r="L285" s="158"/>
    </row>
    <row r="286" spans="1:22">
      <c r="A286" s="310"/>
      <c r="C286" s="458"/>
      <c r="D286" s="460"/>
      <c r="E286" s="460"/>
      <c r="F286" s="466" t="str">
        <f>Aannames!E135</f>
        <v>kW kategorie</v>
      </c>
      <c r="G286" s="466"/>
      <c r="H286" s="466" t="str">
        <f>Aannames!G135</f>
        <v>pK kategorie</v>
      </c>
      <c r="I286" s="485"/>
      <c r="J286" s="482"/>
      <c r="K286" s="158"/>
      <c r="L286" s="158"/>
      <c r="M286" s="7"/>
      <c r="N286" s="2"/>
      <c r="O286" s="2"/>
      <c r="P286" s="745"/>
      <c r="Q286" s="2"/>
      <c r="R286" s="2"/>
      <c r="S286" s="2"/>
      <c r="U286" s="2"/>
      <c r="V286" s="2"/>
    </row>
    <row r="287" spans="1:22">
      <c r="A287" s="310"/>
      <c r="C287" s="744"/>
      <c r="D287" s="459"/>
      <c r="E287" s="460"/>
      <c r="F287" s="547">
        <f>Aannames!E136</f>
        <v>0</v>
      </c>
      <c r="G287" s="452" t="str">
        <f>Aannames!F136</f>
        <v>- 150</v>
      </c>
      <c r="H287" s="547">
        <f>Aannames!G136</f>
        <v>0</v>
      </c>
      <c r="I287" s="452" t="str">
        <f>Aannames!H136</f>
        <v>- 200</v>
      </c>
      <c r="J287" s="69"/>
      <c r="K287" s="548">
        <f>Aannames!J136</f>
        <v>500000</v>
      </c>
      <c r="L287" s="550" t="str">
        <f>Aannames!K136</f>
        <v>, 12 voet</v>
      </c>
    </row>
    <row r="288" spans="1:22">
      <c r="A288" s="310"/>
      <c r="C288" s="744"/>
      <c r="D288" s="459"/>
      <c r="E288" s="460"/>
      <c r="F288" s="547">
        <f>Aannames!E137</f>
        <v>150</v>
      </c>
      <c r="G288" s="550" t="str">
        <f>Aannames!F137</f>
        <v>+</v>
      </c>
      <c r="H288" s="547">
        <f>Aannames!G137</f>
        <v>200</v>
      </c>
      <c r="I288" s="550" t="str">
        <f>Aannames!H137</f>
        <v>+</v>
      </c>
      <c r="J288" s="69"/>
      <c r="K288" s="548">
        <f>Aannames!J137</f>
        <v>570000</v>
      </c>
      <c r="L288" s="550" t="str">
        <f>Aannames!K137</f>
        <v>, 15 voet</v>
      </c>
    </row>
    <row r="289" spans="1:12">
      <c r="A289" s="310"/>
      <c r="C289" s="744"/>
      <c r="D289" s="459"/>
      <c r="E289" s="460"/>
      <c r="F289" s="460"/>
      <c r="G289" s="460"/>
      <c r="H289" s="460"/>
      <c r="I289" s="158"/>
      <c r="J289" s="158"/>
      <c r="K289" s="158"/>
      <c r="L289" s="158"/>
    </row>
    <row r="290" spans="1:12">
      <c r="A290" s="310"/>
      <c r="C290" s="744"/>
      <c r="D290" s="459" t="str">
        <f>Aannames!C139</f>
        <v>Addisionele koste van 'n sny-tafel wat by stroper se annkoopprys gevoeg word:</v>
      </c>
      <c r="E290" s="460"/>
      <c r="F290" s="460"/>
      <c r="G290" s="460"/>
      <c r="H290" s="460"/>
      <c r="I290" s="158"/>
      <c r="J290" s="158"/>
      <c r="K290" s="548">
        <f>Aannames!J139</f>
        <v>800000</v>
      </c>
      <c r="L290" s="158"/>
    </row>
    <row r="291" spans="1:12">
      <c r="C291" s="458"/>
      <c r="D291" s="459"/>
      <c r="E291" s="460"/>
      <c r="F291" s="460"/>
      <c r="G291" s="460"/>
      <c r="H291" s="460"/>
      <c r="I291" s="452"/>
      <c r="J291" s="452"/>
      <c r="K291" s="452"/>
      <c r="L291" s="452"/>
    </row>
    <row r="292" spans="1:12">
      <c r="C292" s="466" t="str">
        <f>Aannames!B142</f>
        <v>Spesifiek tot self-aangedrewe platsnyers alleenlik</v>
      </c>
      <c r="D292" s="460"/>
      <c r="E292" s="460"/>
      <c r="F292" s="452"/>
      <c r="G292" s="452"/>
      <c r="H292" s="452"/>
      <c r="I292" s="452"/>
      <c r="J292" s="452"/>
      <c r="K292" s="452"/>
      <c r="L292" s="452"/>
    </row>
    <row r="293" spans="1:12">
      <c r="C293" s="458"/>
      <c r="D293" s="460"/>
      <c r="E293" s="460"/>
      <c r="F293" s="452"/>
      <c r="G293" s="452"/>
      <c r="H293" s="452"/>
      <c r="I293" s="452"/>
      <c r="J293" s="452"/>
      <c r="K293" s="452"/>
      <c r="L293" s="452"/>
    </row>
    <row r="294" spans="1:12">
      <c r="C294" s="538">
        <f>MAX($C$253:C293)+1</f>
        <v>14</v>
      </c>
      <c r="D294" s="459" t="str">
        <f>Aannames!C144</f>
        <v>Gemiddelde aankoopprys per kilowatt (R/kW) vir self-aangedrewe platsnyers sonder tafels:</v>
      </c>
      <c r="E294" s="460"/>
      <c r="F294" s="460"/>
      <c r="G294" s="460"/>
      <c r="H294" s="460"/>
      <c r="I294" s="452"/>
      <c r="J294" s="452"/>
      <c r="K294" s="452"/>
      <c r="L294" s="452"/>
    </row>
    <row r="295" spans="1:12">
      <c r="C295" s="458"/>
      <c r="D295" s="460"/>
      <c r="E295" s="460"/>
      <c r="F295" s="466" t="str">
        <f>Aannames!E145</f>
        <v>kW kategorie</v>
      </c>
      <c r="G295" s="466"/>
      <c r="H295" s="466" t="str">
        <f>Aannames!G145</f>
        <v>pK kategorie</v>
      </c>
      <c r="I295" s="485"/>
      <c r="J295" s="547"/>
      <c r="K295" s="452"/>
      <c r="L295" s="452"/>
    </row>
    <row r="296" spans="1:12">
      <c r="C296" s="458"/>
      <c r="D296" s="460"/>
      <c r="E296" s="460"/>
      <c r="F296" s="547">
        <f>Aannames!E146</f>
        <v>0</v>
      </c>
      <c r="G296" s="452" t="str">
        <f>Aannames!F146</f>
        <v>- 100</v>
      </c>
      <c r="H296" s="547">
        <f>Aannames!G146</f>
        <v>0</v>
      </c>
      <c r="I296" s="452" t="str">
        <f>Aannames!H146</f>
        <v>- 135</v>
      </c>
      <c r="J296" s="452"/>
      <c r="K296" s="548">
        <f>Aannames!J146</f>
        <v>14050</v>
      </c>
      <c r="L296" s="460" t="str">
        <f>Aannames!K146</f>
        <v>per kW</v>
      </c>
    </row>
    <row r="297" spans="1:12">
      <c r="C297" s="458"/>
      <c r="D297" s="460"/>
      <c r="E297" s="460"/>
      <c r="F297" s="547">
        <f>Aannames!E147</f>
        <v>100</v>
      </c>
      <c r="G297" s="452" t="str">
        <f>Aannames!F147</f>
        <v>- 150</v>
      </c>
      <c r="H297" s="547">
        <f>Aannames!G147</f>
        <v>135</v>
      </c>
      <c r="I297" s="452" t="str">
        <f>Aannames!H147</f>
        <v>- 200</v>
      </c>
      <c r="J297" s="452"/>
      <c r="K297" s="548">
        <f>Aannames!J147</f>
        <v>12750</v>
      </c>
      <c r="L297" s="460" t="str">
        <f>Aannames!K147</f>
        <v>per kW</v>
      </c>
    </row>
    <row r="298" spans="1:12">
      <c r="C298" s="452"/>
      <c r="D298" s="452"/>
      <c r="E298" s="452"/>
      <c r="F298" s="549">
        <f>Aannames!E148</f>
        <v>150</v>
      </c>
      <c r="G298" s="550" t="str">
        <f>Aannames!F148</f>
        <v>+</v>
      </c>
      <c r="H298" s="547">
        <f>Aannames!G148</f>
        <v>200</v>
      </c>
      <c r="I298" s="550" t="str">
        <f>Aannames!H148</f>
        <v>+</v>
      </c>
      <c r="J298" s="452"/>
      <c r="K298" s="548">
        <f>Aannames!J148</f>
        <v>11500</v>
      </c>
      <c r="L298" s="460" t="str">
        <f>Aannames!K148</f>
        <v>per kW</v>
      </c>
    </row>
    <row r="299" spans="1:12">
      <c r="C299" s="458"/>
      <c r="D299" s="459"/>
      <c r="E299" s="460"/>
      <c r="F299" s="460"/>
      <c r="G299" s="460"/>
      <c r="H299" s="460"/>
      <c r="I299" s="452"/>
      <c r="J299" s="452"/>
      <c r="K299" s="452"/>
      <c r="L299" s="452"/>
    </row>
    <row r="300" spans="1:12">
      <c r="C300" s="458"/>
      <c r="D300" s="459"/>
      <c r="E300" s="460"/>
      <c r="F300" s="460"/>
      <c r="G300" s="460"/>
      <c r="H300" s="460"/>
      <c r="I300" s="452"/>
      <c r="J300" s="452"/>
      <c r="K300" s="452"/>
      <c r="L300" s="452"/>
    </row>
    <row r="301" spans="1:12">
      <c r="C301" s="466" t="str">
        <f>Aannames!B151</f>
        <v>Spesifiek tot self-aangedrewe spuite alleenlik</v>
      </c>
      <c r="D301" s="460"/>
      <c r="E301" s="460"/>
      <c r="F301" s="452"/>
      <c r="G301" s="452"/>
      <c r="H301" s="452"/>
      <c r="I301" s="452"/>
      <c r="J301" s="452"/>
      <c r="K301" s="452"/>
      <c r="L301" s="452"/>
    </row>
    <row r="302" spans="1:12">
      <c r="C302" s="458"/>
      <c r="D302" s="460"/>
      <c r="E302" s="460"/>
      <c r="F302" s="452"/>
      <c r="G302" s="452"/>
      <c r="H302" s="452"/>
      <c r="I302" s="452"/>
      <c r="J302" s="452"/>
      <c r="K302" s="452"/>
      <c r="L302" s="452"/>
    </row>
    <row r="303" spans="1:12">
      <c r="C303" s="538">
        <f>MAX($C$253:C302)+1</f>
        <v>15</v>
      </c>
      <c r="D303" s="459" t="str">
        <f>Aannames!C153</f>
        <v>Gemiddelde aankoopprys per kilowatt (R/kW) vir self-aangedrewe spuit met 'n 24 meter balk:</v>
      </c>
      <c r="E303" s="460"/>
      <c r="F303" s="460"/>
      <c r="G303" s="460"/>
      <c r="H303" s="460"/>
      <c r="I303" s="452"/>
      <c r="J303" s="452"/>
      <c r="K303" s="452"/>
      <c r="L303" s="452"/>
    </row>
    <row r="304" spans="1:12">
      <c r="C304" s="458"/>
      <c r="D304" s="459"/>
      <c r="E304" s="460"/>
      <c r="F304" s="466" t="str">
        <f>Aannames!E154</f>
        <v>kW kategorie</v>
      </c>
      <c r="G304" s="466"/>
      <c r="H304" s="466" t="str">
        <f>Aannames!G154</f>
        <v>pK kategorie</v>
      </c>
      <c r="I304" s="485"/>
      <c r="J304" s="547"/>
      <c r="K304" s="452"/>
      <c r="L304" s="452"/>
    </row>
    <row r="305" spans="3:12">
      <c r="C305" s="458"/>
      <c r="D305" s="460"/>
      <c r="E305" s="460"/>
      <c r="F305" s="547">
        <f>Aannames!E155</f>
        <v>0</v>
      </c>
      <c r="G305" s="452" t="str">
        <f>Aannames!F155</f>
        <v>- 150</v>
      </c>
      <c r="H305" s="547">
        <f>Aannames!G155</f>
        <v>0</v>
      </c>
      <c r="I305" s="452" t="str">
        <f>Aannames!H155</f>
        <v>- 200</v>
      </c>
      <c r="J305" s="452"/>
      <c r="K305" s="548">
        <f>Aannames!J155</f>
        <v>24500</v>
      </c>
      <c r="L305" s="460" t="str">
        <f>Aannames!K155</f>
        <v>per kW</v>
      </c>
    </row>
    <row r="306" spans="3:12">
      <c r="C306" s="458"/>
      <c r="D306" s="460"/>
      <c r="E306" s="460"/>
      <c r="F306" s="547">
        <f>Aannames!E156</f>
        <v>150</v>
      </c>
      <c r="G306" s="452" t="str">
        <f>Aannames!F156</f>
        <v>- 200</v>
      </c>
      <c r="H306" s="547">
        <f>Aannames!G156</f>
        <v>200</v>
      </c>
      <c r="I306" s="452" t="str">
        <f>Aannames!H156</f>
        <v>- 270</v>
      </c>
      <c r="J306" s="452"/>
      <c r="K306" s="548">
        <f>Aannames!J156</f>
        <v>23500</v>
      </c>
      <c r="L306" s="460" t="str">
        <f>Aannames!K156</f>
        <v>per kW</v>
      </c>
    </row>
    <row r="307" spans="3:12">
      <c r="C307" s="452"/>
      <c r="D307" s="452"/>
      <c r="E307" s="452"/>
      <c r="F307" s="549">
        <f>Aannames!E157</f>
        <v>200</v>
      </c>
      <c r="G307" s="550" t="str">
        <f>Aannames!F157</f>
        <v>+</v>
      </c>
      <c r="H307" s="547">
        <f>Aannames!G157</f>
        <v>270</v>
      </c>
      <c r="I307" s="550" t="str">
        <f>Aannames!H157</f>
        <v>+</v>
      </c>
      <c r="J307" s="452"/>
      <c r="K307" s="548">
        <f>Aannames!J157</f>
        <v>22000</v>
      </c>
      <c r="L307" s="460" t="str">
        <f>Aannames!K157</f>
        <v>per kW</v>
      </c>
    </row>
    <row r="308" spans="3:12">
      <c r="C308" s="452"/>
      <c r="D308" s="452"/>
      <c r="E308" s="452"/>
      <c r="F308" s="549"/>
      <c r="G308" s="550"/>
      <c r="H308" s="547"/>
      <c r="I308" s="550"/>
      <c r="J308" s="452"/>
      <c r="K308" s="452"/>
      <c r="L308" s="460"/>
    </row>
    <row r="309" spans="3:12">
      <c r="C309" s="538">
        <f>MAX($C$253:C308)+1</f>
        <v>16</v>
      </c>
      <c r="D309" s="467" t="str">
        <f>Aannames!C159</f>
        <v>'n Koste aanpassing word vir balkwydte gemaak vir die verskil vanaf 24 meter teen:</v>
      </c>
      <c r="E309" s="460"/>
      <c r="F309" s="460"/>
      <c r="G309" s="460"/>
      <c r="H309" s="460"/>
      <c r="I309" s="452"/>
      <c r="J309" s="452"/>
      <c r="K309" s="548">
        <f>Aannames!J159</f>
        <v>31500</v>
      </c>
      <c r="L309" s="550" t="str">
        <f>Aannames!K159</f>
        <v>per meter</v>
      </c>
    </row>
    <row r="310" spans="3:12">
      <c r="C310" s="452"/>
      <c r="D310" s="452"/>
      <c r="E310" s="452"/>
      <c r="F310" s="549"/>
      <c r="G310" s="550"/>
      <c r="H310" s="547"/>
      <c r="I310" s="550"/>
      <c r="J310" s="452"/>
      <c r="K310" s="452"/>
      <c r="L310" s="452"/>
    </row>
    <row r="311" spans="3:12">
      <c r="C311" s="452"/>
      <c r="D311" s="452"/>
      <c r="E311" s="452"/>
      <c r="F311" s="549"/>
      <c r="G311" s="550"/>
      <c r="H311" s="547"/>
      <c r="I311" s="550"/>
      <c r="J311" s="452"/>
      <c r="K311" s="452"/>
      <c r="L311" s="452"/>
    </row>
    <row r="312" spans="3:12">
      <c r="C312" s="466" t="str">
        <f>Aannames!B162</f>
        <v>Spesifiek tot self-aangedrewe kuilvoerkerwers alleenlik</v>
      </c>
      <c r="D312" s="460"/>
      <c r="E312" s="460"/>
      <c r="F312" s="452"/>
      <c r="G312" s="452"/>
      <c r="H312" s="452"/>
      <c r="I312" s="452"/>
      <c r="J312" s="452"/>
      <c r="K312" s="452"/>
      <c r="L312" s="452"/>
    </row>
    <row r="313" spans="3:12">
      <c r="C313" s="458"/>
      <c r="D313" s="460"/>
      <c r="E313" s="460"/>
      <c r="F313" s="452"/>
      <c r="G313" s="452"/>
      <c r="H313" s="452"/>
      <c r="I313" s="452"/>
      <c r="J313" s="452"/>
      <c r="K313" s="452"/>
      <c r="L313" s="452"/>
    </row>
    <row r="314" spans="3:12">
      <c r="C314" s="538">
        <f>MAX($C$253:C313)+1</f>
        <v>17</v>
      </c>
      <c r="D314" s="459" t="str">
        <f>Aannames!C164</f>
        <v>Gemiddelde aankoopprys per kilowatt (R/kW) vir self-aangedrewe kuilvoerkerwers sonder tafels:</v>
      </c>
      <c r="E314" s="460"/>
      <c r="F314" s="460"/>
      <c r="G314" s="460"/>
      <c r="H314" s="460"/>
      <c r="I314" s="452"/>
      <c r="J314" s="452"/>
      <c r="K314" s="548">
        <f>Aannames!J164</f>
        <v>16750</v>
      </c>
      <c r="L314" s="460" t="str">
        <f>Aannames!K164</f>
        <v>per kW</v>
      </c>
    </row>
    <row r="315" spans="3:12"/>
    <row r="316" spans="3:12"/>
    <row r="317" spans="3:12"/>
    <row r="318" spans="3:12"/>
    <row r="319" spans="3:12"/>
    <row r="320" spans="3:12"/>
    <row r="321"/>
    <row r="322"/>
    <row r="323"/>
    <row r="324"/>
    <row r="325"/>
    <row r="326"/>
    <row r="327"/>
    <row r="328"/>
    <row r="329"/>
    <row r="330"/>
    <row r="331"/>
    <row r="332"/>
    <row r="333"/>
    <row r="334"/>
    <row r="335"/>
  </sheetData>
  <sheetProtection algorithmName="SHA-512" hashValue="D/j8G7aWm67ic+UX36kZab/lLdIqS6va49sPF2EZC+u6K1JoA6UHeToFzgh3bpM/ogJPZNSscqNFN8r2zqMBZw==" saltValue="9HD0MWPSf/WPY8hZ992gZg==" spinCount="100000" sheet="1" objects="1" sort="0" autoFilter="0" pivotTables="0"/>
  <mergeCells count="20">
    <mergeCell ref="C4:D4"/>
    <mergeCell ref="K4:N4"/>
    <mergeCell ref="C5:C6"/>
    <mergeCell ref="D5:D6"/>
    <mergeCell ref="G5:G6"/>
    <mergeCell ref="I5:I6"/>
    <mergeCell ref="K5:K6"/>
    <mergeCell ref="M5:M6"/>
    <mergeCell ref="N5:N6"/>
    <mergeCell ref="H4:J4"/>
    <mergeCell ref="H5:H6"/>
    <mergeCell ref="J5:J6"/>
    <mergeCell ref="L5:L6"/>
    <mergeCell ref="O5:O6"/>
    <mergeCell ref="X5:X6"/>
    <mergeCell ref="R4:S5"/>
    <mergeCell ref="Q5:Q6"/>
    <mergeCell ref="P5:P6"/>
    <mergeCell ref="O4:Q4"/>
    <mergeCell ref="U4:V5"/>
  </mergeCells>
  <hyperlinks>
    <hyperlink ref="G146" r:id="rId1"/>
    <hyperlink ref="I146" r:id="rId2"/>
    <hyperlink ref="L146" r:id="rId3"/>
    <hyperlink ref="O146" r:id="rId4"/>
    <hyperlink ref="I208" r:id="rId5"/>
    <hyperlink ref="I236" r:id="rId6"/>
  </hyperlinks>
  <pageMargins left="0.51181102362204722" right="0.27559055118110237" top="0.39370078740157483" bottom="0.51181102362204722" header="0.31496062992125984" footer="0.31496062992125984"/>
  <pageSetup paperSize="9" scale="80" fitToWidth="0" fitToHeight="0" orientation="landscape" r:id="rId7"/>
  <rowBreaks count="4" manualBreakCount="4">
    <brk id="25" min="1" max="19" man="1"/>
    <brk id="65" min="1" max="18" man="1"/>
    <brk id="105" min="1" max="18" man="1"/>
    <brk id="195" min="1"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FF"/>
  </sheetPr>
  <dimension ref="A1:Z777"/>
  <sheetViews>
    <sheetView showGridLines="0" zoomScale="80" zoomScaleNormal="80" zoomScaleSheetLayoutView="80" zoomScalePageLayoutView="80" workbookViewId="0">
      <pane ySplit="7" topLeftCell="A8" activePane="bottomLeft" state="frozen"/>
      <selection activeCell="E241" sqref="E241"/>
      <selection pane="bottomLeft" activeCell="A8" sqref="A8"/>
    </sheetView>
  </sheetViews>
  <sheetFormatPr defaultColWidth="0" defaultRowHeight="12.75"/>
  <cols>
    <col min="1" max="1" width="4.77734375" style="47" customWidth="1"/>
    <col min="2" max="2" width="5.21875" style="260" customWidth="1"/>
    <col min="3" max="3" width="4.33203125" style="103" customWidth="1"/>
    <col min="4" max="4" width="38.6640625" style="5" customWidth="1"/>
    <col min="5" max="5" width="10.109375" style="5" bestFit="1" customWidth="1"/>
    <col min="6" max="6" width="8.5546875" style="5" customWidth="1"/>
    <col min="7" max="7" width="7" style="5" customWidth="1"/>
    <col min="8" max="8" width="8.109375" style="5" customWidth="1"/>
    <col min="9" max="9" width="8.6640625" style="5" customWidth="1"/>
    <col min="10" max="10" width="9.21875" style="5" customWidth="1"/>
    <col min="11" max="11" width="6.77734375" style="5" customWidth="1"/>
    <col min="12" max="12" width="8.6640625" style="5" customWidth="1"/>
    <col min="13" max="13" width="8.109375" style="5" customWidth="1"/>
    <col min="14" max="14" width="5.5546875" style="5" bestFit="1" customWidth="1"/>
    <col min="15" max="16" width="8.6640625" style="5" customWidth="1"/>
    <col min="17" max="18" width="1.109375" style="5" customWidth="1"/>
    <col min="19" max="19" width="7.6640625" style="5" hidden="1" customWidth="1"/>
    <col min="20" max="20" width="7.109375" style="901" hidden="1" customWidth="1"/>
    <col min="21" max="21" width="6.44140625" style="196" hidden="1" customWidth="1"/>
    <col min="22" max="23" width="1.109375" style="5" hidden="1" customWidth="1"/>
    <col min="24" max="24" width="13.5546875" style="78" hidden="1" customWidth="1"/>
    <col min="25" max="25" width="6.21875" style="79" hidden="1" customWidth="1"/>
    <col min="26" max="26" width="7.6640625" style="80" hidden="1" customWidth="1"/>
    <col min="27" max="16384" width="8.88671875" style="69" hidden="1"/>
  </cols>
  <sheetData>
    <row r="1" spans="1:26">
      <c r="M1" s="152"/>
      <c r="N1" s="152"/>
      <c r="O1" s="152"/>
      <c r="U1" s="251" t="s">
        <v>414</v>
      </c>
    </row>
    <row r="2" spans="1:26" s="452" customFormat="1" ht="30" customHeight="1" thickBot="1">
      <c r="A2" s="31"/>
      <c r="B2" s="329" t="s">
        <v>353</v>
      </c>
      <c r="C2" s="330"/>
      <c r="D2" s="330"/>
      <c r="E2" s="330"/>
      <c r="F2" s="330"/>
      <c r="G2" s="330"/>
      <c r="H2" s="330"/>
      <c r="I2" s="330"/>
      <c r="J2" s="330"/>
      <c r="K2" s="330"/>
      <c r="L2" s="330"/>
      <c r="M2" s="330"/>
      <c r="N2" s="330"/>
      <c r="O2" s="330"/>
      <c r="P2" s="331"/>
      <c r="Q2" s="5"/>
      <c r="R2" s="5"/>
      <c r="S2" s="5"/>
      <c r="T2" s="901"/>
      <c r="U2" s="197"/>
      <c r="V2" s="158"/>
      <c r="W2" s="158"/>
      <c r="X2" s="159"/>
      <c r="Y2" s="160"/>
      <c r="Z2" s="161"/>
    </row>
    <row r="3" spans="1:26">
      <c r="C3" s="332"/>
      <c r="D3" s="333"/>
      <c r="E3" s="333"/>
      <c r="F3" s="333"/>
      <c r="G3" s="333"/>
      <c r="H3" s="333"/>
      <c r="I3" s="333"/>
      <c r="J3" s="333"/>
      <c r="K3" s="333"/>
      <c r="L3" s="333"/>
      <c r="M3" s="334"/>
      <c r="N3" s="334"/>
      <c r="O3" s="334"/>
      <c r="P3" s="333"/>
      <c r="U3" s="198"/>
    </row>
    <row r="4" spans="1:26" ht="12.75" customHeight="1">
      <c r="A4" s="47" t="str">
        <f>IF(ISNUMBER(D4),ROW(),"")</f>
        <v/>
      </c>
      <c r="B4" s="998"/>
      <c r="C4" s="1000"/>
      <c r="D4" s="1001"/>
      <c r="E4" s="76"/>
      <c r="F4" s="1004" t="s">
        <v>78</v>
      </c>
      <c r="G4" s="1005"/>
      <c r="H4" s="1006"/>
      <c r="I4" s="1004" t="s">
        <v>82</v>
      </c>
      <c r="J4" s="1005"/>
      <c r="K4" s="1005"/>
      <c r="L4" s="1006"/>
      <c r="M4" s="1009" t="s">
        <v>605</v>
      </c>
      <c r="N4" s="1010"/>
      <c r="O4" s="1011"/>
      <c r="P4" s="1007" t="s">
        <v>92</v>
      </c>
      <c r="U4" s="944" t="s">
        <v>415</v>
      </c>
      <c r="X4" s="999" t="s">
        <v>123</v>
      </c>
      <c r="Y4" s="999"/>
      <c r="Z4" s="999"/>
    </row>
    <row r="5" spans="1:26" ht="25.5" customHeight="1">
      <c r="A5" s="31" t="s">
        <v>72</v>
      </c>
      <c r="B5" s="998"/>
      <c r="C5" s="1002" t="s">
        <v>114</v>
      </c>
      <c r="D5" s="1003"/>
      <c r="E5" s="23" t="s">
        <v>73</v>
      </c>
      <c r="F5" s="896" t="s">
        <v>76</v>
      </c>
      <c r="G5" s="894" t="s">
        <v>75</v>
      </c>
      <c r="H5" s="897" t="s">
        <v>95</v>
      </c>
      <c r="I5" s="26" t="s">
        <v>48</v>
      </c>
      <c r="J5" s="23" t="s">
        <v>49</v>
      </c>
      <c r="K5" s="23" t="s">
        <v>50</v>
      </c>
      <c r="L5" s="898" t="s">
        <v>39</v>
      </c>
      <c r="M5" s="190" t="s">
        <v>51</v>
      </c>
      <c r="N5" s="191" t="s">
        <v>41</v>
      </c>
      <c r="O5" s="900" t="s">
        <v>39</v>
      </c>
      <c r="P5" s="1008"/>
      <c r="U5" s="199" t="s">
        <v>119</v>
      </c>
      <c r="X5" s="258" t="s">
        <v>120</v>
      </c>
      <c r="Y5" s="258" t="s">
        <v>121</v>
      </c>
      <c r="Z5" s="259" t="s">
        <v>122</v>
      </c>
    </row>
    <row r="6" spans="1:26">
      <c r="A6" s="47" t="str">
        <f>IF(ISNUMBER(E6),ROW(),"")</f>
        <v/>
      </c>
      <c r="B6" s="261"/>
      <c r="C6" s="98"/>
      <c r="D6" s="18"/>
      <c r="E6" s="18" t="s">
        <v>52</v>
      </c>
      <c r="F6" s="41" t="s">
        <v>77</v>
      </c>
      <c r="G6" s="42" t="s">
        <v>77</v>
      </c>
      <c r="H6" s="43" t="s">
        <v>28</v>
      </c>
      <c r="I6" s="41" t="s">
        <v>523</v>
      </c>
      <c r="J6" s="42" t="s">
        <v>523</v>
      </c>
      <c r="K6" s="42" t="s">
        <v>523</v>
      </c>
      <c r="L6" s="48" t="s">
        <v>523</v>
      </c>
      <c r="M6" s="192" t="s">
        <v>523</v>
      </c>
      <c r="N6" s="193" t="s">
        <v>523</v>
      </c>
      <c r="O6" s="49" t="s">
        <v>523</v>
      </c>
      <c r="P6" s="49" t="s">
        <v>523</v>
      </c>
      <c r="U6" s="200" t="s">
        <v>44</v>
      </c>
    </row>
    <row r="7" spans="1:26">
      <c r="A7" s="47" t="str">
        <f>IF(ISNUMBER(E7),ROW(),"")</f>
        <v/>
      </c>
      <c r="B7" s="261"/>
      <c r="C7" s="62"/>
      <c r="D7" s="2"/>
      <c r="E7" s="2"/>
      <c r="F7" s="2"/>
      <c r="G7" s="2"/>
      <c r="H7" s="2"/>
      <c r="I7" s="2"/>
      <c r="J7" s="2"/>
      <c r="K7" s="2"/>
      <c r="L7" s="2"/>
      <c r="M7" s="153"/>
      <c r="N7" s="153"/>
      <c r="O7" s="153"/>
      <c r="P7" s="37"/>
      <c r="U7" s="201"/>
    </row>
    <row r="8" spans="1:26" s="452" customFormat="1" ht="23.25" customHeight="1" thickBot="1">
      <c r="A8" s="31" t="str">
        <f t="shared" ref="A8:A27" si="0">IF(ISNUMBER(E8),ROW(),"")</f>
        <v/>
      </c>
      <c r="B8" s="287">
        <f>ROUNDDOWN(MAX('Self-Aangedrewe'!B:B),0)+1</f>
        <v>6</v>
      </c>
      <c r="C8" s="303" t="s">
        <v>241</v>
      </c>
      <c r="D8" s="301"/>
      <c r="E8" s="290"/>
      <c r="F8" s="297"/>
      <c r="G8" s="297"/>
      <c r="H8" s="297"/>
      <c r="I8" s="579"/>
      <c r="J8" s="579"/>
      <c r="K8" s="579"/>
      <c r="L8" s="579"/>
      <c r="M8" s="298"/>
      <c r="N8" s="298"/>
      <c r="O8" s="298"/>
      <c r="P8" s="299"/>
      <c r="Q8" s="158"/>
      <c r="R8" s="158"/>
      <c r="S8" s="158"/>
      <c r="T8" s="902"/>
      <c r="U8" s="305"/>
      <c r="V8" s="158"/>
      <c r="W8" s="158"/>
      <c r="X8" s="159"/>
      <c r="Y8" s="160"/>
      <c r="Z8" s="161"/>
    </row>
    <row r="9" spans="1:26">
      <c r="A9" s="155" t="str">
        <f t="shared" si="0"/>
        <v/>
      </c>
      <c r="B9" s="261"/>
      <c r="C9" s="62"/>
      <c r="D9" s="2"/>
      <c r="E9" s="2"/>
      <c r="F9" s="585"/>
      <c r="G9" s="585"/>
      <c r="H9" s="585"/>
      <c r="I9" s="585"/>
      <c r="J9" s="585"/>
      <c r="K9" s="585"/>
      <c r="L9" s="585"/>
      <c r="M9" s="175"/>
      <c r="N9" s="175"/>
      <c r="O9" s="175"/>
      <c r="P9" s="585"/>
      <c r="U9" s="201"/>
    </row>
    <row r="10" spans="1:26" ht="13.5" thickBot="1">
      <c r="A10" s="156" t="str">
        <f t="shared" si="0"/>
        <v/>
      </c>
      <c r="B10" s="266">
        <f>MAX($B$8:B9)+0.01</f>
        <v>6.01</v>
      </c>
      <c r="C10" s="186" t="s">
        <v>449</v>
      </c>
      <c r="D10" s="95"/>
      <c r="E10" s="74"/>
      <c r="F10" s="683"/>
      <c r="G10" s="683"/>
      <c r="H10" s="684"/>
      <c r="I10" s="684"/>
      <c r="J10" s="684"/>
      <c r="K10" s="684"/>
      <c r="L10" s="684"/>
      <c r="M10" s="685"/>
      <c r="N10" s="685"/>
      <c r="O10" s="685"/>
      <c r="P10" s="686" t="s">
        <v>919</v>
      </c>
      <c r="U10" s="204"/>
      <c r="Y10" s="189"/>
    </row>
    <row r="11" spans="1:26">
      <c r="A11" s="156" t="str">
        <f t="shared" si="0"/>
        <v/>
      </c>
      <c r="B11" s="262"/>
      <c r="C11" s="721"/>
      <c r="D11" s="71"/>
      <c r="E11" s="709"/>
      <c r="F11" s="687"/>
      <c r="G11" s="687"/>
      <c r="H11" s="589"/>
      <c r="I11" s="589"/>
      <c r="J11" s="589"/>
      <c r="K11" s="589"/>
      <c r="L11" s="589"/>
      <c r="M11" s="688"/>
      <c r="N11" s="688"/>
      <c r="O11" s="688"/>
      <c r="P11" s="689"/>
      <c r="Q11" s="69"/>
      <c r="R11" s="69"/>
      <c r="S11" s="69"/>
      <c r="T11" s="903"/>
      <c r="U11" s="205"/>
      <c r="V11" s="69"/>
      <c r="W11" s="69"/>
      <c r="Y11" s="189"/>
    </row>
    <row r="12" spans="1:26">
      <c r="A12" s="252"/>
      <c r="B12" s="262"/>
      <c r="C12" s="820" t="s">
        <v>450</v>
      </c>
      <c r="D12" s="153"/>
      <c r="E12" s="710"/>
      <c r="F12" s="690"/>
      <c r="G12" s="690"/>
      <c r="H12" s="585"/>
      <c r="I12" s="585"/>
      <c r="J12" s="585"/>
      <c r="K12" s="585"/>
      <c r="L12" s="585"/>
      <c r="M12" s="175"/>
      <c r="N12" s="175"/>
      <c r="O12" s="175"/>
      <c r="P12" s="586"/>
      <c r="Q12" s="69"/>
      <c r="R12" s="69"/>
      <c r="S12" s="69"/>
      <c r="T12" s="903"/>
      <c r="U12" s="205"/>
      <c r="V12" s="69"/>
      <c r="W12" s="69"/>
      <c r="Y12" s="253"/>
    </row>
    <row r="13" spans="1:26">
      <c r="A13" s="252"/>
      <c r="B13" s="262"/>
      <c r="C13" s="820"/>
      <c r="D13" s="153"/>
      <c r="E13" s="710"/>
      <c r="F13" s="690"/>
      <c r="G13" s="690"/>
      <c r="H13" s="585"/>
      <c r="I13" s="585"/>
      <c r="J13" s="585"/>
      <c r="K13" s="585"/>
      <c r="L13" s="585"/>
      <c r="M13" s="175"/>
      <c r="N13" s="175"/>
      <c r="O13" s="175"/>
      <c r="P13" s="586"/>
      <c r="Q13" s="69"/>
      <c r="R13" s="69"/>
      <c r="S13" s="69"/>
      <c r="T13" s="903"/>
      <c r="U13" s="205"/>
      <c r="V13" s="69"/>
      <c r="W13" s="69"/>
      <c r="Y13" s="253"/>
    </row>
    <row r="14" spans="1:26">
      <c r="A14" s="252"/>
      <c r="B14" s="262"/>
      <c r="C14" s="821" t="s">
        <v>451</v>
      </c>
      <c r="D14" s="153"/>
      <c r="E14" s="710"/>
      <c r="F14" s="690"/>
      <c r="G14" s="690"/>
      <c r="H14" s="585"/>
      <c r="I14" s="585"/>
      <c r="J14" s="585"/>
      <c r="K14" s="585"/>
      <c r="L14" s="585"/>
      <c r="M14" s="175"/>
      <c r="N14" s="175"/>
      <c r="O14" s="175"/>
      <c r="P14" s="586"/>
      <c r="Q14" s="69"/>
      <c r="R14" s="69"/>
      <c r="S14" s="69"/>
      <c r="T14" s="903"/>
      <c r="U14" s="205"/>
      <c r="V14" s="69"/>
      <c r="W14" s="69"/>
      <c r="Y14" s="253"/>
    </row>
    <row r="15" spans="1:26">
      <c r="A15" s="252"/>
      <c r="B15" s="262"/>
      <c r="C15" s="821" t="s">
        <v>452</v>
      </c>
      <c r="D15" s="153"/>
      <c r="E15" s="710"/>
      <c r="F15" s="690"/>
      <c r="G15" s="690"/>
      <c r="H15" s="585"/>
      <c r="I15" s="585"/>
      <c r="J15" s="585"/>
      <c r="K15" s="585"/>
      <c r="L15" s="585"/>
      <c r="M15" s="175"/>
      <c r="N15" s="175"/>
      <c r="O15" s="175"/>
      <c r="P15" s="586"/>
      <c r="Q15" s="69"/>
      <c r="R15" s="69"/>
      <c r="S15" s="69"/>
      <c r="T15" s="903"/>
      <c r="U15" s="205"/>
      <c r="V15" s="69"/>
      <c r="W15" s="69"/>
      <c r="Y15" s="253"/>
    </row>
    <row r="16" spans="1:26">
      <c r="A16" s="252"/>
      <c r="B16" s="262"/>
      <c r="C16" s="820"/>
      <c r="D16" s="153"/>
      <c r="E16" s="710"/>
      <c r="F16" s="690"/>
      <c r="G16" s="690"/>
      <c r="H16" s="585"/>
      <c r="I16" s="585"/>
      <c r="J16" s="585"/>
      <c r="K16" s="585"/>
      <c r="L16" s="585"/>
      <c r="M16" s="175"/>
      <c r="N16" s="175"/>
      <c r="O16" s="175"/>
      <c r="P16" s="586"/>
      <c r="Q16" s="69"/>
      <c r="R16" s="69"/>
      <c r="S16" s="69"/>
      <c r="T16" s="903"/>
      <c r="U16" s="205"/>
      <c r="V16" s="69"/>
      <c r="W16" s="69"/>
      <c r="Y16" s="253"/>
    </row>
    <row r="17" spans="1:25">
      <c r="A17" s="155" t="str">
        <f>IF(ISNUMBER(E17),ROW(),"")</f>
        <v/>
      </c>
      <c r="B17" s="262"/>
      <c r="C17" s="822" t="s">
        <v>461</v>
      </c>
      <c r="D17" s="153"/>
      <c r="E17" s="711"/>
      <c r="F17" s="690"/>
      <c r="G17" s="690"/>
      <c r="H17" s="585"/>
      <c r="I17" s="585"/>
      <c r="J17" s="585"/>
      <c r="K17" s="585"/>
      <c r="L17" s="585"/>
      <c r="M17" s="175"/>
      <c r="N17" s="175"/>
      <c r="O17" s="175"/>
      <c r="P17" s="586"/>
      <c r="Q17" s="69"/>
      <c r="R17" s="69"/>
      <c r="S17" s="69"/>
      <c r="T17" s="903"/>
      <c r="U17" s="205"/>
      <c r="V17" s="69"/>
      <c r="W17" s="69"/>
      <c r="Y17" s="189"/>
    </row>
    <row r="18" spans="1:25">
      <c r="A18" s="155">
        <f>IF(ISNUMBER(E18),ROW(),"")</f>
        <v>18</v>
      </c>
      <c r="B18" s="262"/>
      <c r="C18" s="726" t="s">
        <v>789</v>
      </c>
      <c r="D18" s="153"/>
      <c r="E18" s="678">
        <v>39000</v>
      </c>
      <c r="F18" s="629">
        <v>2500</v>
      </c>
      <c r="G18" s="629">
        <v>250</v>
      </c>
      <c r="H18" s="630">
        <v>50</v>
      </c>
      <c r="I18" s="594">
        <f>MROUND(E18*(1-$E$677/100)/F18,0.05)</f>
        <v>14.05</v>
      </c>
      <c r="J18" s="595">
        <f>MROUND($E18*(1+$E$677/100)/2*$E$682/100/$G18,0.05)</f>
        <v>1.3</v>
      </c>
      <c r="K18" s="600">
        <f>MROUND($E18*(1+$E$677/100)/2*$E$678/100/$G18,0.05)</f>
        <v>9</v>
      </c>
      <c r="L18" s="601">
        <f>SUM(I18:K18)</f>
        <v>24.35</v>
      </c>
      <c r="M18" s="691">
        <f>MROUND($E18*$H18/100/$F18,0.05)</f>
        <v>7.8000000000000007</v>
      </c>
      <c r="N18" s="650">
        <f>MROUND(Y18*Z18,0.05)</f>
        <v>0</v>
      </c>
      <c r="O18" s="601">
        <f>SUM(M18:N18)</f>
        <v>7.8000000000000007</v>
      </c>
      <c r="P18" s="599">
        <f>O18+L18</f>
        <v>32.150000000000006</v>
      </c>
      <c r="Q18" s="69"/>
      <c r="R18" s="69"/>
      <c r="S18" s="69"/>
      <c r="T18" s="903"/>
      <c r="U18" s="208" t="s">
        <v>251</v>
      </c>
      <c r="V18" s="69"/>
      <c r="W18" s="69"/>
      <c r="Y18" s="189"/>
    </row>
    <row r="19" spans="1:25">
      <c r="A19" s="156">
        <f>IF(ISNUMBER(E19),ROW(),"")</f>
        <v>19</v>
      </c>
      <c r="B19" s="262"/>
      <c r="C19" s="726" t="s">
        <v>790</v>
      </c>
      <c r="D19" s="153"/>
      <c r="E19" s="678">
        <v>49000</v>
      </c>
      <c r="F19" s="629">
        <v>2500</v>
      </c>
      <c r="G19" s="629">
        <v>250</v>
      </c>
      <c r="H19" s="630">
        <v>50</v>
      </c>
      <c r="I19" s="594">
        <f>MROUND(E19*(1-$E$677/100)/F19,0.05)</f>
        <v>17.650000000000002</v>
      </c>
      <c r="J19" s="595">
        <f>MROUND($E19*(1+$E$677/100)/2*$E$682/100/$G19,0.05)</f>
        <v>1.6</v>
      </c>
      <c r="K19" s="600">
        <f>MROUND($E19*(1+$E$677/100)/2*$E$678/100/$G19,0.05)</f>
        <v>11.3</v>
      </c>
      <c r="L19" s="601">
        <f t="shared" ref="L19:L20" si="1">SUM(I19:K19)</f>
        <v>30.550000000000004</v>
      </c>
      <c r="M19" s="691">
        <f>MROUND($E19*$H19/100/$F19,0.05)</f>
        <v>9.8000000000000007</v>
      </c>
      <c r="N19" s="650">
        <f t="shared" ref="N19:N20" si="2">MROUND(Y19*Z19,0.05)</f>
        <v>0</v>
      </c>
      <c r="O19" s="601">
        <f t="shared" ref="O19:O20" si="3">SUM(M19:N19)</f>
        <v>9.8000000000000007</v>
      </c>
      <c r="P19" s="599">
        <f t="shared" ref="P19:P20" si="4">O19+L19</f>
        <v>40.350000000000009</v>
      </c>
      <c r="Q19" s="69"/>
      <c r="R19" s="69"/>
      <c r="S19" s="69"/>
      <c r="T19" s="903"/>
      <c r="U19" s="208" t="s">
        <v>252</v>
      </c>
      <c r="V19" s="69"/>
      <c r="W19" s="69"/>
      <c r="Y19" s="189"/>
    </row>
    <row r="20" spans="1:25">
      <c r="A20" s="156">
        <f>IF(ISNUMBER(E20),ROW(),"")</f>
        <v>20</v>
      </c>
      <c r="B20" s="262"/>
      <c r="C20" s="726" t="s">
        <v>791</v>
      </c>
      <c r="D20" s="153"/>
      <c r="E20" s="678">
        <v>75500</v>
      </c>
      <c r="F20" s="629">
        <v>2500</v>
      </c>
      <c r="G20" s="629">
        <v>250</v>
      </c>
      <c r="H20" s="630">
        <v>50</v>
      </c>
      <c r="I20" s="594">
        <f>MROUND(E20*(1-$E$677/100)/F20,0.05)</f>
        <v>27.200000000000003</v>
      </c>
      <c r="J20" s="595">
        <f>MROUND($E20*(1+$E$677/100)/2*$E$682/100/$G20,0.05)</f>
        <v>2.5</v>
      </c>
      <c r="K20" s="600">
        <f>MROUND($E20*(1+$E$677/100)/2*$E$678/100/$G20,0.05)</f>
        <v>17.45</v>
      </c>
      <c r="L20" s="601">
        <f t="shared" si="1"/>
        <v>47.150000000000006</v>
      </c>
      <c r="M20" s="691">
        <f>MROUND($E20*$H20/100/$F20,0.05)</f>
        <v>15.100000000000001</v>
      </c>
      <c r="N20" s="650">
        <f t="shared" si="2"/>
        <v>0</v>
      </c>
      <c r="O20" s="601">
        <f t="shared" si="3"/>
        <v>15.100000000000001</v>
      </c>
      <c r="P20" s="599">
        <f t="shared" si="4"/>
        <v>62.250000000000007</v>
      </c>
      <c r="Q20" s="69"/>
      <c r="R20" s="69"/>
      <c r="S20" s="69"/>
      <c r="T20" s="903"/>
      <c r="U20" s="208" t="s">
        <v>253</v>
      </c>
      <c r="V20" s="69"/>
      <c r="W20" s="69"/>
      <c r="Y20" s="189"/>
    </row>
    <row r="21" spans="1:25">
      <c r="A21" s="252"/>
      <c r="B21" s="262"/>
      <c r="C21" s="726"/>
      <c r="D21" s="153"/>
      <c r="E21" s="790"/>
      <c r="F21" s="629"/>
      <c r="G21" s="629"/>
      <c r="H21" s="629"/>
      <c r="I21" s="594"/>
      <c r="J21" s="595"/>
      <c r="K21" s="594"/>
      <c r="L21" s="596"/>
      <c r="M21" s="598"/>
      <c r="N21" s="598"/>
      <c r="O21" s="596"/>
      <c r="P21" s="599"/>
      <c r="Q21" s="69"/>
      <c r="R21" s="69"/>
      <c r="S21" s="69"/>
      <c r="T21" s="903"/>
      <c r="U21" s="208"/>
      <c r="V21" s="69"/>
      <c r="W21" s="69"/>
      <c r="Y21" s="253"/>
    </row>
    <row r="22" spans="1:25">
      <c r="A22" s="156" t="str">
        <f t="shared" si="0"/>
        <v/>
      </c>
      <c r="B22" s="262"/>
      <c r="C22" s="822" t="s">
        <v>462</v>
      </c>
      <c r="D22" s="153"/>
      <c r="E22" s="790"/>
      <c r="F22" s="690"/>
      <c r="G22" s="690"/>
      <c r="H22" s="585"/>
      <c r="I22" s="585"/>
      <c r="J22" s="585"/>
      <c r="K22" s="585"/>
      <c r="L22" s="585"/>
      <c r="M22" s="175"/>
      <c r="N22" s="175"/>
      <c r="O22" s="175"/>
      <c r="P22" s="586"/>
      <c r="Q22" s="69"/>
      <c r="R22" s="69"/>
      <c r="S22" s="69"/>
      <c r="T22" s="903"/>
      <c r="U22" s="205"/>
      <c r="V22" s="69"/>
      <c r="W22" s="69"/>
      <c r="Y22" s="189"/>
    </row>
    <row r="23" spans="1:25">
      <c r="A23" s="183">
        <f t="shared" si="0"/>
        <v>23</v>
      </c>
      <c r="B23" s="262"/>
      <c r="C23" s="726" t="s">
        <v>792</v>
      </c>
      <c r="D23" s="153"/>
      <c r="E23" s="678">
        <v>154250</v>
      </c>
      <c r="F23" s="629">
        <v>2500</v>
      </c>
      <c r="G23" s="629">
        <v>250</v>
      </c>
      <c r="H23" s="630">
        <v>50</v>
      </c>
      <c r="I23" s="594">
        <f>MROUND(E23*(1-$E$677/100)/F23,0.05)</f>
        <v>55.550000000000004</v>
      </c>
      <c r="J23" s="595">
        <f>MROUND($E23*(1+$E$677/100)/2*$E$682/100/$G23,0.05)</f>
        <v>5.1000000000000005</v>
      </c>
      <c r="K23" s="600">
        <f>MROUND($E23*(1+$E$677/100)/2*$E$678/100/$G23,0.05)</f>
        <v>35.65</v>
      </c>
      <c r="L23" s="601">
        <f t="shared" ref="L23:L27" si="5">SUM(I23:K23)</f>
        <v>96.300000000000011</v>
      </c>
      <c r="M23" s="691">
        <f>MROUND($E23*$H23/100/$F23,0.05)</f>
        <v>30.85</v>
      </c>
      <c r="N23" s="650">
        <f t="shared" ref="N23:N27" si="6">MROUND(Y23*Z23,0.05)</f>
        <v>0</v>
      </c>
      <c r="O23" s="601">
        <f t="shared" ref="O23:O27" si="7">SUM(M23:N23)</f>
        <v>30.85</v>
      </c>
      <c r="P23" s="599">
        <f t="shared" ref="P23:P27" si="8">O23+L23</f>
        <v>127.15</v>
      </c>
      <c r="Q23" s="69"/>
      <c r="R23" s="69"/>
      <c r="S23" s="69"/>
      <c r="T23" s="903"/>
      <c r="U23" s="208"/>
      <c r="V23" s="69"/>
      <c r="W23" s="69"/>
      <c r="Y23" s="213"/>
    </row>
    <row r="24" spans="1:25">
      <c r="A24" s="183">
        <f t="shared" si="0"/>
        <v>24</v>
      </c>
      <c r="B24" s="262"/>
      <c r="C24" s="726" t="s">
        <v>793</v>
      </c>
      <c r="D24" s="153"/>
      <c r="E24" s="678">
        <v>170500</v>
      </c>
      <c r="F24" s="629">
        <v>2500</v>
      </c>
      <c r="G24" s="629">
        <v>250</v>
      </c>
      <c r="H24" s="630">
        <v>50</v>
      </c>
      <c r="I24" s="594">
        <f>MROUND(E24*(1-$E$677/100)/F24,0.05)</f>
        <v>61.400000000000006</v>
      </c>
      <c r="J24" s="595">
        <f>MROUND($E24*(1+$E$677/100)/2*$E$682/100/$G24,0.05)</f>
        <v>5.65</v>
      </c>
      <c r="K24" s="600">
        <f>MROUND($E24*(1+$E$677/100)/2*$E$678/100/$G24,0.05)</f>
        <v>39.400000000000006</v>
      </c>
      <c r="L24" s="601">
        <f t="shared" si="5"/>
        <v>106.45000000000002</v>
      </c>
      <c r="M24" s="691">
        <f>MROUND($E24*$H24/100/$F24,0.05)</f>
        <v>34.1</v>
      </c>
      <c r="N24" s="650">
        <f t="shared" si="6"/>
        <v>0</v>
      </c>
      <c r="O24" s="601">
        <f t="shared" si="7"/>
        <v>34.1</v>
      </c>
      <c r="P24" s="599">
        <f t="shared" si="8"/>
        <v>140.55000000000001</v>
      </c>
      <c r="Q24" s="69"/>
      <c r="R24" s="69"/>
      <c r="S24" s="69"/>
      <c r="T24" s="903"/>
      <c r="U24" s="208"/>
      <c r="V24" s="69"/>
      <c r="W24" s="69"/>
      <c r="Y24" s="213"/>
    </row>
    <row r="25" spans="1:25">
      <c r="A25" s="156">
        <f t="shared" si="0"/>
        <v>25</v>
      </c>
      <c r="B25" s="262"/>
      <c r="C25" s="726" t="s">
        <v>794</v>
      </c>
      <c r="D25" s="153"/>
      <c r="E25" s="678">
        <v>220250</v>
      </c>
      <c r="F25" s="629">
        <v>2500</v>
      </c>
      <c r="G25" s="629">
        <v>250</v>
      </c>
      <c r="H25" s="630">
        <v>50</v>
      </c>
      <c r="I25" s="594">
        <f>MROUND(E25*(1-$E$677/100)/F25,0.05)</f>
        <v>79.300000000000011</v>
      </c>
      <c r="J25" s="595">
        <f>MROUND($E25*(1+$E$677/100)/2*$E$682/100/$G25,0.05)</f>
        <v>7.25</v>
      </c>
      <c r="K25" s="600">
        <f>MROUND($E25*(1+$E$677/100)/2*$E$678/100/$G25,0.05)</f>
        <v>50.900000000000006</v>
      </c>
      <c r="L25" s="601">
        <f t="shared" si="5"/>
        <v>137.45000000000002</v>
      </c>
      <c r="M25" s="691">
        <f>MROUND($E25*$H25/100/$F25,0.05)</f>
        <v>44.050000000000004</v>
      </c>
      <c r="N25" s="650">
        <f t="shared" si="6"/>
        <v>0</v>
      </c>
      <c r="O25" s="601">
        <f t="shared" si="7"/>
        <v>44.050000000000004</v>
      </c>
      <c r="P25" s="599">
        <f t="shared" si="8"/>
        <v>181.50000000000003</v>
      </c>
      <c r="Q25" s="69"/>
      <c r="R25" s="69"/>
      <c r="S25" s="69"/>
      <c r="T25" s="903"/>
      <c r="U25" s="208" t="s">
        <v>254</v>
      </c>
      <c r="V25" s="69"/>
      <c r="W25" s="69"/>
      <c r="Y25" s="189"/>
    </row>
    <row r="26" spans="1:25">
      <c r="A26" s="156">
        <f t="shared" si="0"/>
        <v>26</v>
      </c>
      <c r="B26" s="262"/>
      <c r="C26" s="726" t="s">
        <v>795</v>
      </c>
      <c r="D26" s="153"/>
      <c r="E26" s="678">
        <v>252250</v>
      </c>
      <c r="F26" s="629">
        <v>2500</v>
      </c>
      <c r="G26" s="629">
        <v>250</v>
      </c>
      <c r="H26" s="630">
        <v>50</v>
      </c>
      <c r="I26" s="594">
        <f>MROUND(E26*(1-$E$677/100)/F26,0.05)</f>
        <v>90.800000000000011</v>
      </c>
      <c r="J26" s="595">
        <f>MROUND($E26*(1+$E$677/100)/2*$E$682/100/$G26,0.05)</f>
        <v>8.3000000000000007</v>
      </c>
      <c r="K26" s="600">
        <f>MROUND($E26*(1+$E$677/100)/2*$E$678/100/$G26,0.05)</f>
        <v>58.25</v>
      </c>
      <c r="L26" s="601">
        <f t="shared" si="5"/>
        <v>157.35000000000002</v>
      </c>
      <c r="M26" s="691">
        <f>MROUND($E26*$H26/100/$F26,0.05)</f>
        <v>50.45</v>
      </c>
      <c r="N26" s="650">
        <f t="shared" si="6"/>
        <v>0</v>
      </c>
      <c r="O26" s="601">
        <f t="shared" si="7"/>
        <v>50.45</v>
      </c>
      <c r="P26" s="599">
        <f t="shared" si="8"/>
        <v>207.8</v>
      </c>
      <c r="Q26" s="69"/>
      <c r="R26" s="69"/>
      <c r="S26" s="69"/>
      <c r="T26" s="903"/>
      <c r="U26" s="208" t="s">
        <v>255</v>
      </c>
      <c r="V26" s="69"/>
      <c r="W26" s="69"/>
      <c r="Y26" s="189"/>
    </row>
    <row r="27" spans="1:25">
      <c r="A27" s="156">
        <f t="shared" si="0"/>
        <v>27</v>
      </c>
      <c r="B27" s="262"/>
      <c r="C27" s="726" t="s">
        <v>796</v>
      </c>
      <c r="D27" s="153"/>
      <c r="E27" s="678">
        <v>269500</v>
      </c>
      <c r="F27" s="629">
        <v>2500</v>
      </c>
      <c r="G27" s="629">
        <v>250</v>
      </c>
      <c r="H27" s="630">
        <v>50</v>
      </c>
      <c r="I27" s="594">
        <f>MROUND(E27*(1-$E$677/100)/F27,0.05)</f>
        <v>97</v>
      </c>
      <c r="J27" s="595">
        <f>MROUND($E27*(1+$E$677/100)/2*$E$682/100/$G27,0.05)</f>
        <v>8.9</v>
      </c>
      <c r="K27" s="600">
        <f>MROUND($E27*(1+$E$677/100)/2*$E$678/100/$G27,0.05)</f>
        <v>62.25</v>
      </c>
      <c r="L27" s="601">
        <f t="shared" si="5"/>
        <v>168.15</v>
      </c>
      <c r="M27" s="691">
        <f>MROUND($E27*$H27/100/$F27,0.05)</f>
        <v>53.900000000000006</v>
      </c>
      <c r="N27" s="650">
        <f t="shared" si="6"/>
        <v>0</v>
      </c>
      <c r="O27" s="601">
        <f t="shared" si="7"/>
        <v>53.900000000000006</v>
      </c>
      <c r="P27" s="599">
        <f t="shared" si="8"/>
        <v>222.05</v>
      </c>
      <c r="Q27" s="69"/>
      <c r="R27" s="69"/>
      <c r="S27" s="69"/>
      <c r="T27" s="903"/>
      <c r="U27" s="208" t="s">
        <v>256</v>
      </c>
      <c r="V27" s="69"/>
      <c r="W27" s="69"/>
      <c r="Y27" s="189"/>
    </row>
    <row r="28" spans="1:25">
      <c r="A28" s="156" t="str">
        <f t="shared" ref="A28:A63" si="9">IF(ISNUMBER(E28),ROW(),"")</f>
        <v/>
      </c>
      <c r="C28" s="823"/>
      <c r="D28" s="170"/>
      <c r="E28" s="563"/>
      <c r="F28" s="692"/>
      <c r="G28" s="692"/>
      <c r="H28" s="692"/>
      <c r="I28" s="605"/>
      <c r="J28" s="606"/>
      <c r="K28" s="605"/>
      <c r="L28" s="607"/>
      <c r="M28" s="608"/>
      <c r="N28" s="608"/>
      <c r="O28" s="607"/>
      <c r="P28" s="609"/>
      <c r="U28" s="207"/>
      <c r="Y28" s="189"/>
    </row>
    <row r="29" spans="1:25">
      <c r="A29" s="156" t="str">
        <f t="shared" si="9"/>
        <v/>
      </c>
      <c r="B29" s="261"/>
      <c r="C29" s="725"/>
      <c r="D29" s="153"/>
      <c r="E29" s="557"/>
      <c r="F29" s="585"/>
      <c r="G29" s="585"/>
      <c r="H29" s="585"/>
      <c r="I29" s="585"/>
      <c r="J29" s="585"/>
      <c r="K29" s="585"/>
      <c r="L29" s="585"/>
      <c r="M29" s="175"/>
      <c r="N29" s="175"/>
      <c r="O29" s="175"/>
      <c r="P29" s="585"/>
      <c r="U29" s="201"/>
      <c r="Y29" s="189"/>
    </row>
    <row r="30" spans="1:25" ht="13.5" thickBot="1">
      <c r="A30" s="156" t="str">
        <f t="shared" si="9"/>
        <v/>
      </c>
      <c r="B30" s="266">
        <f>MAX($B$8:B29)+0.01</f>
        <v>6.02</v>
      </c>
      <c r="C30" s="824" t="s">
        <v>454</v>
      </c>
      <c r="D30" s="95"/>
      <c r="E30" s="713"/>
      <c r="F30" s="683"/>
      <c r="G30" s="683"/>
      <c r="H30" s="684"/>
      <c r="I30" s="684"/>
      <c r="J30" s="684"/>
      <c r="K30" s="684"/>
      <c r="L30" s="684"/>
      <c r="M30" s="685"/>
      <c r="N30" s="685"/>
      <c r="O30" s="685"/>
      <c r="P30" s="686" t="str">
        <f>C30</f>
        <v>TRASH HANDICULT, TRASH FIELDSPAN, SCARRIFIER</v>
      </c>
      <c r="U30" s="204"/>
      <c r="Y30" s="189"/>
    </row>
    <row r="31" spans="1:25">
      <c r="A31" s="156" t="str">
        <f t="shared" si="9"/>
        <v/>
      </c>
      <c r="B31" s="262"/>
      <c r="C31" s="825"/>
      <c r="D31" s="826"/>
      <c r="E31" s="709"/>
      <c r="F31" s="687"/>
      <c r="G31" s="687"/>
      <c r="H31" s="589"/>
      <c r="I31" s="589"/>
      <c r="J31" s="589"/>
      <c r="K31" s="589"/>
      <c r="L31" s="589"/>
      <c r="M31" s="688"/>
      <c r="N31" s="688"/>
      <c r="O31" s="688"/>
      <c r="P31" s="689"/>
      <c r="Q31" s="69"/>
      <c r="R31" s="69"/>
      <c r="S31" s="69"/>
      <c r="T31" s="903"/>
      <c r="U31" s="205"/>
      <c r="V31" s="69"/>
      <c r="W31" s="69"/>
      <c r="Y31" s="189"/>
    </row>
    <row r="32" spans="1:25">
      <c r="A32" s="252"/>
      <c r="B32" s="262"/>
      <c r="C32" s="820" t="s">
        <v>455</v>
      </c>
      <c r="D32" s="153"/>
      <c r="E32" s="710"/>
      <c r="F32" s="690"/>
      <c r="G32" s="690"/>
      <c r="H32" s="585"/>
      <c r="I32" s="585"/>
      <c r="J32" s="585"/>
      <c r="K32" s="585"/>
      <c r="L32" s="585"/>
      <c r="M32" s="175"/>
      <c r="N32" s="175"/>
      <c r="O32" s="175"/>
      <c r="P32" s="586"/>
      <c r="Q32" s="69"/>
      <c r="R32" s="69"/>
      <c r="S32" s="69"/>
      <c r="T32" s="903"/>
      <c r="U32" s="205"/>
      <c r="V32" s="69"/>
      <c r="W32" s="69"/>
      <c r="Y32" s="253"/>
    </row>
    <row r="33" spans="1:25">
      <c r="A33" s="252"/>
      <c r="B33" s="262"/>
      <c r="C33" s="820"/>
      <c r="D33" s="153"/>
      <c r="E33" s="710"/>
      <c r="F33" s="690"/>
      <c r="G33" s="690"/>
      <c r="H33" s="585"/>
      <c r="I33" s="585"/>
      <c r="J33" s="585"/>
      <c r="K33" s="585"/>
      <c r="L33" s="585"/>
      <c r="M33" s="175"/>
      <c r="N33" s="175"/>
      <c r="O33" s="175"/>
      <c r="P33" s="586"/>
      <c r="Q33" s="69"/>
      <c r="R33" s="69"/>
      <c r="S33" s="69"/>
      <c r="T33" s="903"/>
      <c r="U33" s="205"/>
      <c r="V33" s="69"/>
      <c r="W33" s="69"/>
      <c r="Y33" s="253"/>
    </row>
    <row r="34" spans="1:25">
      <c r="A34" s="252"/>
      <c r="B34" s="262"/>
      <c r="C34" s="821" t="s">
        <v>453</v>
      </c>
      <c r="D34" s="153"/>
      <c r="E34" s="710"/>
      <c r="F34" s="690"/>
      <c r="G34" s="690"/>
      <c r="H34" s="585"/>
      <c r="I34" s="585"/>
      <c r="J34" s="585"/>
      <c r="K34" s="585"/>
      <c r="L34" s="585"/>
      <c r="M34" s="175"/>
      <c r="N34" s="175"/>
      <c r="O34" s="175"/>
      <c r="P34" s="586"/>
      <c r="Q34" s="69"/>
      <c r="R34" s="69"/>
      <c r="S34" s="69"/>
      <c r="T34" s="903"/>
      <c r="U34" s="205"/>
      <c r="V34" s="69"/>
      <c r="W34" s="69"/>
      <c r="Y34" s="253"/>
    </row>
    <row r="35" spans="1:25">
      <c r="A35" s="252"/>
      <c r="B35" s="262"/>
      <c r="C35" s="821" t="s">
        <v>670</v>
      </c>
      <c r="D35" s="153"/>
      <c r="E35" s="710"/>
      <c r="F35" s="690"/>
      <c r="G35" s="690"/>
      <c r="H35" s="585"/>
      <c r="I35" s="585"/>
      <c r="J35" s="585"/>
      <c r="K35" s="585"/>
      <c r="L35" s="585"/>
      <c r="M35" s="175"/>
      <c r="N35" s="175"/>
      <c r="O35" s="175"/>
      <c r="P35" s="586"/>
      <c r="Q35" s="69"/>
      <c r="R35" s="69"/>
      <c r="S35" s="69"/>
      <c r="T35" s="903"/>
      <c r="U35" s="205"/>
      <c r="V35" s="69"/>
      <c r="W35" s="69"/>
      <c r="Y35" s="253"/>
    </row>
    <row r="36" spans="1:25">
      <c r="A36" s="252"/>
      <c r="B36" s="262"/>
      <c r="C36" s="820"/>
      <c r="D36" s="153"/>
      <c r="E36" s="710"/>
      <c r="F36" s="690"/>
      <c r="G36" s="690"/>
      <c r="H36" s="585"/>
      <c r="I36" s="585"/>
      <c r="J36" s="585"/>
      <c r="K36" s="585"/>
      <c r="L36" s="585"/>
      <c r="M36" s="175"/>
      <c r="N36" s="175"/>
      <c r="O36" s="175"/>
      <c r="P36" s="586"/>
      <c r="Q36" s="69"/>
      <c r="R36" s="69"/>
      <c r="S36" s="69"/>
      <c r="T36" s="903"/>
      <c r="U36" s="205"/>
      <c r="V36" s="69"/>
      <c r="W36" s="69"/>
      <c r="Y36" s="253"/>
    </row>
    <row r="37" spans="1:25">
      <c r="A37" s="310"/>
      <c r="B37" s="262"/>
      <c r="C37" s="820"/>
      <c r="D37" s="153"/>
      <c r="E37" s="710"/>
      <c r="F37" s="690"/>
      <c r="G37" s="690"/>
      <c r="H37" s="585"/>
      <c r="I37" s="585"/>
      <c r="J37" s="585"/>
      <c r="K37" s="585"/>
      <c r="L37" s="585"/>
      <c r="M37" s="175"/>
      <c r="N37" s="175"/>
      <c r="O37" s="175"/>
      <c r="P37" s="586"/>
      <c r="Q37" s="69"/>
      <c r="R37" s="69"/>
      <c r="S37" s="69"/>
      <c r="T37" s="903"/>
      <c r="U37" s="205"/>
      <c r="V37" s="69"/>
      <c r="W37" s="69"/>
      <c r="Y37" s="534"/>
    </row>
    <row r="38" spans="1:25">
      <c r="A38" s="156" t="str">
        <f t="shared" ref="A38:A42" si="10">IF(ISNUMBER(E38),ROW(),"")</f>
        <v/>
      </c>
      <c r="B38" s="262"/>
      <c r="C38" s="822" t="s">
        <v>976</v>
      </c>
      <c r="D38" s="153"/>
      <c r="E38" s="710"/>
      <c r="F38" s="690"/>
      <c r="G38" s="690"/>
      <c r="H38" s="585"/>
      <c r="I38" s="585"/>
      <c r="J38" s="585"/>
      <c r="K38" s="585"/>
      <c r="L38" s="585"/>
      <c r="M38" s="175"/>
      <c r="N38" s="175"/>
      <c r="O38" s="175"/>
      <c r="P38" s="586"/>
      <c r="Q38" s="69"/>
      <c r="R38" s="69"/>
      <c r="S38" s="69"/>
      <c r="T38" s="903"/>
      <c r="U38" s="205"/>
      <c r="V38" s="69"/>
      <c r="W38" s="69"/>
      <c r="Y38" s="189"/>
    </row>
    <row r="39" spans="1:25">
      <c r="A39" s="156">
        <f t="shared" si="10"/>
        <v>39</v>
      </c>
      <c r="B39" s="262"/>
      <c r="C39" s="726" t="s">
        <v>665</v>
      </c>
      <c r="D39" s="153"/>
      <c r="E39" s="678">
        <v>54500</v>
      </c>
      <c r="F39" s="629">
        <v>2500</v>
      </c>
      <c r="G39" s="629">
        <v>250</v>
      </c>
      <c r="H39" s="630">
        <v>50</v>
      </c>
      <c r="I39" s="594">
        <f>MROUND(E39*(1-$E$677/100)/F39,0.05)</f>
        <v>19.600000000000001</v>
      </c>
      <c r="J39" s="595">
        <f>MROUND($E39*(1+$E$677/100)/2*$E$682/100/$G39,0.05)</f>
        <v>1.8</v>
      </c>
      <c r="K39" s="600">
        <f>MROUND($E39*(1+$E$677/100)/2*$E$678/100/$G39,0.05)</f>
        <v>12.600000000000001</v>
      </c>
      <c r="L39" s="601">
        <f t="shared" ref="L39:L41" si="11">SUM(I39:K39)</f>
        <v>34</v>
      </c>
      <c r="M39" s="691">
        <f>MROUND($E39*$H39/100/$F39,0.05)</f>
        <v>10.9</v>
      </c>
      <c r="N39" s="650">
        <f t="shared" ref="N39:N41" si="12">MROUND(Y39*Z39,0.05)</f>
        <v>0</v>
      </c>
      <c r="O39" s="601">
        <f t="shared" ref="O39:O41" si="13">SUM(M39:N39)</f>
        <v>10.9</v>
      </c>
      <c r="P39" s="599">
        <f t="shared" ref="P39:P41" si="14">O39+L39</f>
        <v>44.9</v>
      </c>
      <c r="Q39" s="69"/>
      <c r="R39" s="69"/>
      <c r="S39" s="69"/>
      <c r="T39" s="903"/>
      <c r="U39" s="208" t="s">
        <v>260</v>
      </c>
      <c r="V39" s="69"/>
      <c r="W39" s="69"/>
      <c r="Y39" s="189"/>
    </row>
    <row r="40" spans="1:25">
      <c r="A40" s="156">
        <f t="shared" si="10"/>
        <v>40</v>
      </c>
      <c r="B40" s="262"/>
      <c r="C40" s="726" t="s">
        <v>666</v>
      </c>
      <c r="D40" s="153"/>
      <c r="E40" s="678">
        <v>84000</v>
      </c>
      <c r="F40" s="629">
        <v>2500</v>
      </c>
      <c r="G40" s="629">
        <v>250</v>
      </c>
      <c r="H40" s="630">
        <v>50</v>
      </c>
      <c r="I40" s="594">
        <f>MROUND(E40*(1-$E$677/100)/F40,0.05)</f>
        <v>30.25</v>
      </c>
      <c r="J40" s="595">
        <f>MROUND($E40*(1+$E$677/100)/2*$E$682/100/$G40,0.05)</f>
        <v>2.75</v>
      </c>
      <c r="K40" s="600">
        <f>MROUND($E40*(1+$E$677/100)/2*$E$678/100/$G40,0.05)</f>
        <v>19.400000000000002</v>
      </c>
      <c r="L40" s="601">
        <f t="shared" si="11"/>
        <v>52.400000000000006</v>
      </c>
      <c r="M40" s="691">
        <f>MROUND($E40*$H40/100/$F40,0.05)</f>
        <v>16.8</v>
      </c>
      <c r="N40" s="650">
        <f t="shared" si="12"/>
        <v>0</v>
      </c>
      <c r="O40" s="601">
        <f t="shared" si="13"/>
        <v>16.8</v>
      </c>
      <c r="P40" s="599">
        <f t="shared" si="14"/>
        <v>69.2</v>
      </c>
      <c r="Q40" s="69"/>
      <c r="R40" s="69"/>
      <c r="S40" s="69"/>
      <c r="T40" s="903"/>
      <c r="U40" s="208" t="s">
        <v>261</v>
      </c>
      <c r="V40" s="69"/>
      <c r="W40" s="69"/>
      <c r="Y40" s="189"/>
    </row>
    <row r="41" spans="1:25">
      <c r="A41" s="156">
        <f t="shared" si="10"/>
        <v>41</v>
      </c>
      <c r="B41" s="262"/>
      <c r="C41" s="726" t="s">
        <v>667</v>
      </c>
      <c r="D41" s="153"/>
      <c r="E41" s="678">
        <v>139750</v>
      </c>
      <c r="F41" s="629">
        <v>2500</v>
      </c>
      <c r="G41" s="629">
        <v>250</v>
      </c>
      <c r="H41" s="630">
        <v>50</v>
      </c>
      <c r="I41" s="594">
        <f>MROUND(E41*(1-$E$677/100)/F41,0.05)</f>
        <v>50.300000000000004</v>
      </c>
      <c r="J41" s="595">
        <f>MROUND($E41*(1+$E$677/100)/2*$E$682/100/$G41,0.05)</f>
        <v>4.6000000000000005</v>
      </c>
      <c r="K41" s="600">
        <f>MROUND($E41*(1+$E$677/100)/2*$E$678/100/$G41,0.05)</f>
        <v>32.300000000000004</v>
      </c>
      <c r="L41" s="601">
        <f t="shared" si="11"/>
        <v>87.200000000000017</v>
      </c>
      <c r="M41" s="691">
        <f>MROUND($E41*$H41/100/$F41,0.05)</f>
        <v>27.950000000000003</v>
      </c>
      <c r="N41" s="650">
        <f t="shared" si="12"/>
        <v>0</v>
      </c>
      <c r="O41" s="601">
        <f t="shared" si="13"/>
        <v>27.950000000000003</v>
      </c>
      <c r="P41" s="599">
        <f t="shared" si="14"/>
        <v>115.15000000000002</v>
      </c>
      <c r="Q41" s="69"/>
      <c r="R41" s="69"/>
      <c r="S41" s="69"/>
      <c r="T41" s="903"/>
      <c r="U41" s="208" t="s">
        <v>262</v>
      </c>
      <c r="V41" s="69"/>
      <c r="W41" s="69"/>
      <c r="Y41" s="189"/>
    </row>
    <row r="42" spans="1:25">
      <c r="A42" s="156" t="str">
        <f t="shared" si="10"/>
        <v/>
      </c>
      <c r="B42" s="262"/>
      <c r="C42" s="726"/>
      <c r="D42" s="153"/>
      <c r="E42" s="790"/>
      <c r="F42" s="629"/>
      <c r="G42" s="629"/>
      <c r="H42" s="629"/>
      <c r="I42" s="594"/>
      <c r="J42" s="595"/>
      <c r="K42" s="594"/>
      <c r="L42" s="596"/>
      <c r="M42" s="598"/>
      <c r="N42" s="598"/>
      <c r="O42" s="596"/>
      <c r="P42" s="599"/>
      <c r="Q42" s="69"/>
      <c r="R42" s="69"/>
      <c r="S42" s="69"/>
      <c r="T42" s="903"/>
      <c r="U42" s="205"/>
      <c r="V42" s="69"/>
      <c r="W42" s="69"/>
      <c r="Y42" s="189"/>
    </row>
    <row r="43" spans="1:25">
      <c r="A43" s="156" t="str">
        <f>IF(ISNUMBER(E43),ROW(),"")</f>
        <v/>
      </c>
      <c r="B43" s="262"/>
      <c r="C43" s="822" t="s">
        <v>975</v>
      </c>
      <c r="D43" s="153"/>
      <c r="E43" s="790"/>
      <c r="F43" s="690"/>
      <c r="G43" s="690"/>
      <c r="H43" s="585"/>
      <c r="I43" s="585"/>
      <c r="J43" s="585"/>
      <c r="K43" s="585"/>
      <c r="L43" s="585"/>
      <c r="M43" s="175"/>
      <c r="N43" s="175"/>
      <c r="O43" s="175"/>
      <c r="P43" s="586"/>
      <c r="Q43" s="69"/>
      <c r="R43" s="69"/>
      <c r="S43" s="69"/>
      <c r="T43" s="903"/>
      <c r="U43" s="205"/>
      <c r="V43" s="69"/>
      <c r="W43" s="69"/>
      <c r="Y43" s="189"/>
    </row>
    <row r="44" spans="1:25">
      <c r="A44" s="156">
        <f>IF(ISNUMBER(E44),ROW(),"")</f>
        <v>44</v>
      </c>
      <c r="B44" s="262"/>
      <c r="C44" s="726" t="s">
        <v>1171</v>
      </c>
      <c r="D44" s="153"/>
      <c r="E44" s="678">
        <v>78500</v>
      </c>
      <c r="F44" s="629">
        <v>2500</v>
      </c>
      <c r="G44" s="629">
        <v>250</v>
      </c>
      <c r="H44" s="630">
        <v>50</v>
      </c>
      <c r="I44" s="594">
        <f>MROUND(E44*(1-$E$677/100)/F44,0.05)</f>
        <v>28.25</v>
      </c>
      <c r="J44" s="595">
        <f>MROUND($E44*(1+$E$677/100)/2*$E$682/100/$G44,0.05)</f>
        <v>2.6</v>
      </c>
      <c r="K44" s="600">
        <f>MROUND($E44*(1+$E$677/100)/2*$E$678/100/$G44,0.05)</f>
        <v>18.150000000000002</v>
      </c>
      <c r="L44" s="601">
        <f t="shared" ref="L44:L46" si="15">SUM(I44:K44)</f>
        <v>49</v>
      </c>
      <c r="M44" s="691">
        <f>MROUND($E44*$H44/100/$F44,0.05)</f>
        <v>15.700000000000001</v>
      </c>
      <c r="N44" s="650">
        <f t="shared" ref="N44:N46" si="16">MROUND(Y44*Z44,0.05)</f>
        <v>0</v>
      </c>
      <c r="O44" s="601">
        <f t="shared" ref="O44:O46" si="17">SUM(M44:N44)</f>
        <v>15.700000000000001</v>
      </c>
      <c r="P44" s="599">
        <f t="shared" ref="P44:P46" si="18">O44+L44</f>
        <v>64.7</v>
      </c>
      <c r="Q44" s="69"/>
      <c r="R44" s="69"/>
      <c r="S44" s="69"/>
      <c r="T44" s="903"/>
      <c r="U44" s="208" t="s">
        <v>257</v>
      </c>
      <c r="V44" s="69"/>
      <c r="W44" s="69"/>
      <c r="Y44" s="189"/>
    </row>
    <row r="45" spans="1:25">
      <c r="A45" s="156">
        <f>IF(ISNUMBER(E45),ROW(),"")</f>
        <v>45</v>
      </c>
      <c r="B45" s="262"/>
      <c r="C45" s="726" t="s">
        <v>668</v>
      </c>
      <c r="D45" s="153"/>
      <c r="E45" s="678">
        <v>127250</v>
      </c>
      <c r="F45" s="629">
        <v>2500</v>
      </c>
      <c r="G45" s="629">
        <v>250</v>
      </c>
      <c r="H45" s="630">
        <v>50</v>
      </c>
      <c r="I45" s="594">
        <f>MROUND(E45*(1-$E$677/100)/F45,0.05)</f>
        <v>45.800000000000004</v>
      </c>
      <c r="J45" s="595">
        <f>MROUND($E45*(1+$E$677/100)/2*$E$682/100/$G45,0.05)</f>
        <v>4.2</v>
      </c>
      <c r="K45" s="600">
        <f>MROUND($E45*(1+$E$677/100)/2*$E$678/100/$G45,0.05)</f>
        <v>29.400000000000002</v>
      </c>
      <c r="L45" s="601">
        <f t="shared" si="15"/>
        <v>79.400000000000006</v>
      </c>
      <c r="M45" s="691">
        <f>MROUND($E45*$H45/100/$F45,0.05)</f>
        <v>25.450000000000003</v>
      </c>
      <c r="N45" s="650">
        <f t="shared" si="16"/>
        <v>0</v>
      </c>
      <c r="O45" s="601">
        <f t="shared" si="17"/>
        <v>25.450000000000003</v>
      </c>
      <c r="P45" s="599">
        <f t="shared" si="18"/>
        <v>104.85000000000001</v>
      </c>
      <c r="Q45" s="69"/>
      <c r="R45" s="69"/>
      <c r="S45" s="69"/>
      <c r="T45" s="903"/>
      <c r="U45" s="208" t="s">
        <v>258</v>
      </c>
      <c r="V45" s="69"/>
      <c r="W45" s="69"/>
      <c r="Y45" s="189"/>
    </row>
    <row r="46" spans="1:25">
      <c r="A46" s="156">
        <f>IF(ISNUMBER(E46),ROW(),"")</f>
        <v>46</v>
      </c>
      <c r="B46" s="262"/>
      <c r="C46" s="726" t="s">
        <v>669</v>
      </c>
      <c r="D46" s="153"/>
      <c r="E46" s="678">
        <v>196750</v>
      </c>
      <c r="F46" s="629">
        <v>2500</v>
      </c>
      <c r="G46" s="629">
        <v>250</v>
      </c>
      <c r="H46" s="630">
        <v>50</v>
      </c>
      <c r="I46" s="594">
        <f>MROUND(E46*(1-$E$677/100)/F46,0.05)</f>
        <v>70.850000000000009</v>
      </c>
      <c r="J46" s="595">
        <f>MROUND($E46*(1+$E$677/100)/2*$E$682/100/$G46,0.05)</f>
        <v>6.5</v>
      </c>
      <c r="K46" s="600">
        <f>MROUND($E46*(1+$E$677/100)/2*$E$678/100/$G46,0.05)</f>
        <v>45.45</v>
      </c>
      <c r="L46" s="601">
        <f t="shared" si="15"/>
        <v>122.80000000000001</v>
      </c>
      <c r="M46" s="691">
        <f>MROUND($E46*$H46/100/$F46,0.05)</f>
        <v>39.35</v>
      </c>
      <c r="N46" s="650">
        <f t="shared" si="16"/>
        <v>0</v>
      </c>
      <c r="O46" s="601">
        <f t="shared" si="17"/>
        <v>39.35</v>
      </c>
      <c r="P46" s="599">
        <f t="shared" si="18"/>
        <v>162.15</v>
      </c>
      <c r="Q46" s="69"/>
      <c r="R46" s="69"/>
      <c r="S46" s="69"/>
      <c r="T46" s="903"/>
      <c r="U46" s="208" t="s">
        <v>259</v>
      </c>
      <c r="V46" s="69"/>
      <c r="W46" s="69"/>
      <c r="Y46" s="189"/>
    </row>
    <row r="47" spans="1:25">
      <c r="A47" s="310" t="str">
        <f t="shared" ref="A47" si="19">IF(ISNUMBER(E47),ROW(),"")</f>
        <v/>
      </c>
      <c r="C47" s="823"/>
      <c r="D47" s="170"/>
      <c r="E47" s="563"/>
      <c r="F47" s="692"/>
      <c r="G47" s="692"/>
      <c r="H47" s="692"/>
      <c r="I47" s="605"/>
      <c r="J47" s="606"/>
      <c r="K47" s="605"/>
      <c r="L47" s="607"/>
      <c r="M47" s="608"/>
      <c r="N47" s="608"/>
      <c r="O47" s="607"/>
      <c r="P47" s="609"/>
      <c r="U47" s="207"/>
      <c r="Y47" s="772"/>
    </row>
    <row r="48" spans="1:25">
      <c r="A48" s="310" t="str">
        <f t="shared" ref="A48:A50" si="20">IF(ISNUMBER(E48),ROW(),"")</f>
        <v/>
      </c>
      <c r="B48" s="261"/>
      <c r="C48" s="725"/>
      <c r="D48" s="153"/>
      <c r="E48" s="557"/>
      <c r="F48" s="585"/>
      <c r="G48" s="585"/>
      <c r="H48" s="585"/>
      <c r="I48" s="585"/>
      <c r="J48" s="585"/>
      <c r="K48" s="585"/>
      <c r="L48" s="585"/>
      <c r="M48" s="175"/>
      <c r="N48" s="175"/>
      <c r="O48" s="175"/>
      <c r="P48" s="585"/>
      <c r="U48" s="201"/>
      <c r="Y48" s="772"/>
    </row>
    <row r="49" spans="1:25" ht="13.5" thickBot="1">
      <c r="A49" s="310" t="str">
        <f t="shared" si="20"/>
        <v/>
      </c>
      <c r="B49" s="266" t="s">
        <v>1520</v>
      </c>
      <c r="C49" s="824" t="s">
        <v>1517</v>
      </c>
      <c r="D49" s="95"/>
      <c r="E49" s="713"/>
      <c r="F49" s="683"/>
      <c r="G49" s="683"/>
      <c r="H49" s="684"/>
      <c r="I49" s="684"/>
      <c r="J49" s="684"/>
      <c r="K49" s="684"/>
      <c r="L49" s="684"/>
      <c r="M49" s="685"/>
      <c r="N49" s="685"/>
      <c r="O49" s="685"/>
      <c r="P49" s="686" t="str">
        <f>C49</f>
        <v>TRASH HANDICULT, TRASH FIELDSPAN, SCARRIFIER (VERVOLG)</v>
      </c>
      <c r="U49" s="204"/>
      <c r="Y49" s="772"/>
    </row>
    <row r="50" spans="1:25">
      <c r="A50" s="310" t="str">
        <f t="shared" si="20"/>
        <v/>
      </c>
      <c r="B50" s="262"/>
      <c r="C50" s="825"/>
      <c r="D50" s="826"/>
      <c r="E50" s="709"/>
      <c r="F50" s="687"/>
      <c r="G50" s="687"/>
      <c r="H50" s="589"/>
      <c r="I50" s="589"/>
      <c r="J50" s="589"/>
      <c r="K50" s="589"/>
      <c r="L50" s="589"/>
      <c r="M50" s="688"/>
      <c r="N50" s="688"/>
      <c r="O50" s="688"/>
      <c r="P50" s="689"/>
      <c r="Q50" s="69"/>
      <c r="R50" s="69"/>
      <c r="S50" s="69"/>
      <c r="T50" s="903"/>
      <c r="U50" s="205"/>
      <c r="V50" s="69"/>
      <c r="W50" s="69"/>
      <c r="Y50" s="772"/>
    </row>
    <row r="51" spans="1:25">
      <c r="A51" s="156" t="str">
        <f t="shared" ref="A51:A56" si="21">IF(ISNUMBER(E51),ROW(),"")</f>
        <v/>
      </c>
      <c r="B51" s="262"/>
      <c r="C51" s="822" t="s">
        <v>281</v>
      </c>
      <c r="D51" s="153"/>
      <c r="E51" s="790"/>
      <c r="F51" s="690"/>
      <c r="G51" s="690"/>
      <c r="H51" s="585"/>
      <c r="I51" s="585"/>
      <c r="J51" s="585"/>
      <c r="K51" s="585"/>
      <c r="L51" s="585"/>
      <c r="M51" s="175"/>
      <c r="N51" s="175"/>
      <c r="O51" s="175"/>
      <c r="P51" s="586"/>
      <c r="Q51" s="69"/>
      <c r="R51" s="69"/>
      <c r="S51" s="69"/>
      <c r="T51" s="903"/>
      <c r="U51" s="205"/>
      <c r="V51" s="69"/>
      <c r="W51" s="69"/>
      <c r="Y51" s="189"/>
    </row>
    <row r="52" spans="1:25">
      <c r="A52" s="183">
        <f>IF(ISNUMBER(E52),ROW(),"")</f>
        <v>52</v>
      </c>
      <c r="B52" s="262"/>
      <c r="C52" s="726" t="s">
        <v>674</v>
      </c>
      <c r="D52" s="153"/>
      <c r="E52" s="678">
        <v>421500</v>
      </c>
      <c r="F52" s="629">
        <v>2500</v>
      </c>
      <c r="G52" s="629">
        <v>250</v>
      </c>
      <c r="H52" s="630">
        <v>50</v>
      </c>
      <c r="I52" s="594">
        <f>MROUND(E52*(1-$E$677/100)/F52,0.05)</f>
        <v>151.75</v>
      </c>
      <c r="J52" s="595">
        <f>MROUND($E52*(1+$E$677/100)/2*$E$682/100/$G52,0.05)</f>
        <v>13.9</v>
      </c>
      <c r="K52" s="600">
        <f>MROUND($E52*(1+$E$677/100)/2*$E$678/100/$G52,0.05)</f>
        <v>97.350000000000009</v>
      </c>
      <c r="L52" s="601">
        <f t="shared" ref="L52:L55" si="22">SUM(I52:K52)</f>
        <v>263</v>
      </c>
      <c r="M52" s="691">
        <f>MROUND($E52*$H52/100/$F52,0.05)</f>
        <v>84.300000000000011</v>
      </c>
      <c r="N52" s="650">
        <f t="shared" ref="N52:N55" si="23">MROUND(Y52*Z52,0.05)</f>
        <v>0</v>
      </c>
      <c r="O52" s="601">
        <f t="shared" ref="O52:O55" si="24">SUM(M52:N52)</f>
        <v>84.300000000000011</v>
      </c>
      <c r="P52" s="599">
        <f t="shared" ref="P52:P55" si="25">O52+L52</f>
        <v>347.3</v>
      </c>
      <c r="Q52" s="69"/>
      <c r="R52" s="69"/>
      <c r="S52" s="69"/>
      <c r="T52" s="903"/>
      <c r="U52" s="208" t="s">
        <v>259</v>
      </c>
      <c r="V52" s="69"/>
      <c r="W52" s="69"/>
      <c r="Y52" s="217"/>
    </row>
    <row r="53" spans="1:25">
      <c r="A53" s="183">
        <f t="shared" si="21"/>
        <v>53</v>
      </c>
      <c r="B53" s="262"/>
      <c r="C53" s="726" t="s">
        <v>675</v>
      </c>
      <c r="D53" s="153"/>
      <c r="E53" s="678">
        <v>462250</v>
      </c>
      <c r="F53" s="629">
        <v>2500</v>
      </c>
      <c r="G53" s="629">
        <v>250</v>
      </c>
      <c r="H53" s="630">
        <v>50</v>
      </c>
      <c r="I53" s="594">
        <f>MROUND(E53*(1-$E$677/100)/F53,0.05)</f>
        <v>166.4</v>
      </c>
      <c r="J53" s="595">
        <f>MROUND($E53*(1+$E$677/100)/2*$E$682/100/$G53,0.05)</f>
        <v>15.25</v>
      </c>
      <c r="K53" s="600">
        <f>MROUND($E53*(1+$E$677/100)/2*$E$678/100/$G53,0.05)</f>
        <v>106.80000000000001</v>
      </c>
      <c r="L53" s="601">
        <f t="shared" si="22"/>
        <v>288.45000000000005</v>
      </c>
      <c r="M53" s="691">
        <f>MROUND($E53*$H53/100/$F53,0.05)</f>
        <v>92.45</v>
      </c>
      <c r="N53" s="650">
        <f t="shared" si="23"/>
        <v>0</v>
      </c>
      <c r="O53" s="601">
        <f t="shared" si="24"/>
        <v>92.45</v>
      </c>
      <c r="P53" s="599">
        <f t="shared" si="25"/>
        <v>380.90000000000003</v>
      </c>
      <c r="Q53" s="69"/>
      <c r="R53" s="69"/>
      <c r="S53" s="69"/>
      <c r="T53" s="903"/>
      <c r="U53" s="208" t="s">
        <v>490</v>
      </c>
      <c r="V53" s="69"/>
      <c r="W53" s="69"/>
      <c r="Y53" s="216"/>
    </row>
    <row r="54" spans="1:25">
      <c r="A54" s="156">
        <f t="shared" si="21"/>
        <v>54</v>
      </c>
      <c r="B54" s="69"/>
      <c r="C54" s="726" t="s">
        <v>676</v>
      </c>
      <c r="D54" s="153"/>
      <c r="E54" s="678">
        <v>517000</v>
      </c>
      <c r="F54" s="629">
        <v>2500</v>
      </c>
      <c r="G54" s="629">
        <v>250</v>
      </c>
      <c r="H54" s="630">
        <v>50</v>
      </c>
      <c r="I54" s="594">
        <f>MROUND(E54*(1-$E$677/100)/F54,0.05)</f>
        <v>186.10000000000002</v>
      </c>
      <c r="J54" s="595">
        <f>MROUND($E54*(1+$E$677/100)/2*$E$682/100/$G54,0.05)</f>
        <v>17.05</v>
      </c>
      <c r="K54" s="600">
        <f>MROUND($E54*(1+$E$677/100)/2*$E$678/100/$G54,0.05)</f>
        <v>119.45</v>
      </c>
      <c r="L54" s="601">
        <f t="shared" si="22"/>
        <v>322.60000000000002</v>
      </c>
      <c r="M54" s="691">
        <f>MROUND($E54*$H54/100/$F54,0.05)</f>
        <v>103.4</v>
      </c>
      <c r="N54" s="650">
        <f t="shared" si="23"/>
        <v>0</v>
      </c>
      <c r="O54" s="601">
        <f t="shared" si="24"/>
        <v>103.4</v>
      </c>
      <c r="P54" s="599">
        <f t="shared" si="25"/>
        <v>426</v>
      </c>
      <c r="Q54" s="69"/>
      <c r="R54" s="69"/>
      <c r="S54" s="69"/>
      <c r="T54" s="903"/>
      <c r="U54" s="208" t="s">
        <v>264</v>
      </c>
      <c r="V54" s="69"/>
      <c r="W54" s="69"/>
      <c r="Y54" s="189"/>
    </row>
    <row r="55" spans="1:25">
      <c r="A55" s="156">
        <f t="shared" si="21"/>
        <v>55</v>
      </c>
      <c r="B55" s="69"/>
      <c r="C55" s="726" t="s">
        <v>977</v>
      </c>
      <c r="D55" s="153"/>
      <c r="E55" s="678">
        <v>548750</v>
      </c>
      <c r="F55" s="629">
        <v>2500</v>
      </c>
      <c r="G55" s="629">
        <v>250</v>
      </c>
      <c r="H55" s="630">
        <v>50</v>
      </c>
      <c r="I55" s="594">
        <f>MROUND(E55*(1-$E$677/100)/F55,0.05)</f>
        <v>197.55</v>
      </c>
      <c r="J55" s="595">
        <f>MROUND($E55*(1+$E$677/100)/2*$E$682/100/$G55,0.05)</f>
        <v>18.100000000000001</v>
      </c>
      <c r="K55" s="600">
        <f>MROUND($E55*(1+$E$677/100)/2*$E$678/100/$G55,0.05)</f>
        <v>126.75</v>
      </c>
      <c r="L55" s="601">
        <f t="shared" si="22"/>
        <v>342.4</v>
      </c>
      <c r="M55" s="691">
        <f>MROUND($E55*$H55/100/$F55,0.05)</f>
        <v>109.75</v>
      </c>
      <c r="N55" s="650">
        <f t="shared" si="23"/>
        <v>0</v>
      </c>
      <c r="O55" s="601">
        <f t="shared" si="24"/>
        <v>109.75</v>
      </c>
      <c r="P55" s="599">
        <f t="shared" si="25"/>
        <v>452.15</v>
      </c>
      <c r="Q55" s="69"/>
      <c r="R55" s="69"/>
      <c r="S55" s="69"/>
      <c r="T55" s="903"/>
      <c r="U55" s="208" t="s">
        <v>266</v>
      </c>
      <c r="V55" s="69"/>
      <c r="W55" s="69"/>
      <c r="Y55" s="189"/>
    </row>
    <row r="56" spans="1:25">
      <c r="A56" s="156" t="str">
        <f t="shared" si="21"/>
        <v/>
      </c>
      <c r="B56" s="262"/>
      <c r="C56" s="726"/>
      <c r="D56" s="153"/>
      <c r="E56" s="790"/>
      <c r="F56" s="629"/>
      <c r="G56" s="629"/>
      <c r="H56" s="629"/>
      <c r="I56" s="594"/>
      <c r="J56" s="595"/>
      <c r="K56" s="594"/>
      <c r="L56" s="596"/>
      <c r="M56" s="598"/>
      <c r="N56" s="598"/>
      <c r="O56" s="596"/>
      <c r="P56" s="599"/>
      <c r="Q56" s="69"/>
      <c r="R56" s="69"/>
      <c r="S56" s="69"/>
      <c r="T56" s="903"/>
      <c r="U56" s="205"/>
      <c r="V56" s="69"/>
      <c r="W56" s="69"/>
      <c r="Y56" s="189"/>
    </row>
    <row r="57" spans="1:25">
      <c r="A57" s="156" t="str">
        <f t="shared" si="9"/>
        <v/>
      </c>
      <c r="B57" s="262"/>
      <c r="C57" s="822" t="s">
        <v>280</v>
      </c>
      <c r="D57" s="153"/>
      <c r="E57" s="790"/>
      <c r="F57" s="690"/>
      <c r="G57" s="690"/>
      <c r="H57" s="585"/>
      <c r="I57" s="585"/>
      <c r="J57" s="585"/>
      <c r="K57" s="585"/>
      <c r="L57" s="585"/>
      <c r="M57" s="175"/>
      <c r="N57" s="175"/>
      <c r="O57" s="175"/>
      <c r="P57" s="586"/>
      <c r="Q57" s="69"/>
      <c r="R57" s="69"/>
      <c r="S57" s="69"/>
      <c r="T57" s="903"/>
      <c r="U57" s="205"/>
      <c r="V57" s="69"/>
      <c r="W57" s="69"/>
      <c r="Y57" s="189"/>
    </row>
    <row r="58" spans="1:25">
      <c r="A58" s="183">
        <f t="shared" si="9"/>
        <v>58</v>
      </c>
      <c r="B58" s="262"/>
      <c r="C58" s="726" t="s">
        <v>672</v>
      </c>
      <c r="D58" s="153"/>
      <c r="E58" s="678">
        <v>562500</v>
      </c>
      <c r="F58" s="629">
        <v>2500</v>
      </c>
      <c r="G58" s="629">
        <v>250</v>
      </c>
      <c r="H58" s="630">
        <v>50</v>
      </c>
      <c r="I58" s="594">
        <f>MROUND(E58*(1-$E$677/100)/F58,0.05)</f>
        <v>202.5</v>
      </c>
      <c r="J58" s="595">
        <f>MROUND($E58*(1+$E$677/100)/2*$E$682/100/$G58,0.05)</f>
        <v>18.55</v>
      </c>
      <c r="K58" s="600">
        <f>MROUND($E58*(1+$E$677/100)/2*$E$678/100/$G58,0.05)</f>
        <v>129.95000000000002</v>
      </c>
      <c r="L58" s="601">
        <f t="shared" ref="L58:L61" si="26">SUM(I58:K58)</f>
        <v>351</v>
      </c>
      <c r="M58" s="691">
        <f>MROUND($E58*$H58/100/$F58,0.05)</f>
        <v>112.5</v>
      </c>
      <c r="N58" s="650">
        <f t="shared" ref="N58:N61" si="27">MROUND(Y58*Z58,0.05)</f>
        <v>0</v>
      </c>
      <c r="O58" s="601">
        <f t="shared" ref="O58:O61" si="28">SUM(M58:N58)</f>
        <v>112.5</v>
      </c>
      <c r="P58" s="599">
        <f t="shared" ref="P58:P61" si="29">O58+L58</f>
        <v>463.5</v>
      </c>
      <c r="Q58" s="69"/>
      <c r="R58" s="69"/>
      <c r="S58" s="69"/>
      <c r="T58" s="903"/>
      <c r="U58" s="208" t="s">
        <v>259</v>
      </c>
      <c r="V58" s="69"/>
      <c r="W58" s="69"/>
      <c r="Y58" s="217"/>
    </row>
    <row r="59" spans="1:25">
      <c r="A59" s="183">
        <f>IF(ISNUMBER(E59),ROW(),"")</f>
        <v>59</v>
      </c>
      <c r="B59" s="262"/>
      <c r="C59" s="726" t="s">
        <v>673</v>
      </c>
      <c r="D59" s="153"/>
      <c r="E59" s="678">
        <v>612250</v>
      </c>
      <c r="F59" s="629">
        <v>2500</v>
      </c>
      <c r="G59" s="629">
        <v>250</v>
      </c>
      <c r="H59" s="630">
        <v>50</v>
      </c>
      <c r="I59" s="594">
        <f>MROUND(E59*(1-$E$677/100)/F59,0.05)</f>
        <v>220.4</v>
      </c>
      <c r="J59" s="595">
        <f>MROUND($E59*(1+$E$677/100)/2*$E$682/100/$G59,0.05)</f>
        <v>20.200000000000003</v>
      </c>
      <c r="K59" s="600">
        <f>MROUND($E59*(1+$E$677/100)/2*$E$678/100/$G59,0.05)</f>
        <v>141.45000000000002</v>
      </c>
      <c r="L59" s="601">
        <f t="shared" si="26"/>
        <v>382.05000000000007</v>
      </c>
      <c r="M59" s="691">
        <f>MROUND($E59*$H59/100/$F59,0.05)</f>
        <v>122.45</v>
      </c>
      <c r="N59" s="650">
        <f t="shared" si="27"/>
        <v>0</v>
      </c>
      <c r="O59" s="601">
        <f t="shared" si="28"/>
        <v>122.45</v>
      </c>
      <c r="P59" s="599">
        <f t="shared" si="29"/>
        <v>504.50000000000006</v>
      </c>
      <c r="Q59" s="69"/>
      <c r="R59" s="69"/>
      <c r="S59" s="69"/>
      <c r="T59" s="903"/>
      <c r="U59" s="208" t="s">
        <v>263</v>
      </c>
      <c r="V59" s="69"/>
      <c r="W59" s="69"/>
      <c r="Y59" s="216"/>
    </row>
    <row r="60" spans="1:25">
      <c r="A60" s="156">
        <f t="shared" si="9"/>
        <v>60</v>
      </c>
      <c r="B60" s="262"/>
      <c r="C60" s="726" t="s">
        <v>671</v>
      </c>
      <c r="D60" s="153"/>
      <c r="E60" s="678">
        <v>674750</v>
      </c>
      <c r="F60" s="629">
        <v>2500</v>
      </c>
      <c r="G60" s="629">
        <v>250</v>
      </c>
      <c r="H60" s="630">
        <v>50</v>
      </c>
      <c r="I60" s="594">
        <f>MROUND(E60*(1-$E$677/100)/F60,0.05)</f>
        <v>242.9</v>
      </c>
      <c r="J60" s="595">
        <f>MROUND($E60*(1+$E$677/100)/2*$E$682/100/$G60,0.05)</f>
        <v>22.25</v>
      </c>
      <c r="K60" s="600">
        <f>MROUND($E60*(1+$E$677/100)/2*$E$678/100/$G60,0.05)</f>
        <v>155.85000000000002</v>
      </c>
      <c r="L60" s="601">
        <f t="shared" si="26"/>
        <v>421</v>
      </c>
      <c r="M60" s="691">
        <f>MROUND($E60*$H60/100/$F60,0.05)</f>
        <v>134.95000000000002</v>
      </c>
      <c r="N60" s="650">
        <f t="shared" si="27"/>
        <v>0</v>
      </c>
      <c r="O60" s="601">
        <f t="shared" si="28"/>
        <v>134.95000000000002</v>
      </c>
      <c r="P60" s="599">
        <f t="shared" si="29"/>
        <v>555.95000000000005</v>
      </c>
      <c r="Q60" s="69"/>
      <c r="R60" s="69"/>
      <c r="S60" s="69"/>
      <c r="T60" s="903"/>
      <c r="U60" s="208" t="s">
        <v>263</v>
      </c>
      <c r="V60" s="69"/>
      <c r="W60" s="69"/>
      <c r="Y60" s="189"/>
    </row>
    <row r="61" spans="1:25">
      <c r="A61" s="156">
        <f t="shared" si="9"/>
        <v>61</v>
      </c>
      <c r="B61" s="262"/>
      <c r="C61" s="726" t="s">
        <v>978</v>
      </c>
      <c r="D61" s="153"/>
      <c r="E61" s="678">
        <v>708750</v>
      </c>
      <c r="F61" s="629">
        <v>2500</v>
      </c>
      <c r="G61" s="629">
        <v>250</v>
      </c>
      <c r="H61" s="630">
        <v>50</v>
      </c>
      <c r="I61" s="594">
        <f>MROUND(E61*(1-$E$677/100)/F61,0.05)</f>
        <v>255.15</v>
      </c>
      <c r="J61" s="595">
        <f>MROUND($E61*(1+$E$677/100)/2*$E$682/100/$G61,0.05)</f>
        <v>23.400000000000002</v>
      </c>
      <c r="K61" s="600">
        <f>MROUND($E61*(1+$E$677/100)/2*$E$678/100/$G61,0.05)</f>
        <v>163.70000000000002</v>
      </c>
      <c r="L61" s="601">
        <f t="shared" si="26"/>
        <v>442.25</v>
      </c>
      <c r="M61" s="691">
        <f>MROUND($E61*$H61/100/$F61,0.05)</f>
        <v>141.75</v>
      </c>
      <c r="N61" s="650">
        <f t="shared" si="27"/>
        <v>0</v>
      </c>
      <c r="O61" s="601">
        <f t="shared" si="28"/>
        <v>141.75</v>
      </c>
      <c r="P61" s="599">
        <f t="shared" si="29"/>
        <v>584</v>
      </c>
      <c r="Q61" s="69"/>
      <c r="R61" s="69"/>
      <c r="S61" s="69"/>
      <c r="T61" s="903"/>
      <c r="U61" s="208" t="s">
        <v>265</v>
      </c>
      <c r="V61" s="69"/>
      <c r="W61" s="69"/>
      <c r="Y61" s="189"/>
    </row>
    <row r="62" spans="1:25">
      <c r="A62" s="156" t="str">
        <f t="shared" si="9"/>
        <v/>
      </c>
      <c r="C62" s="823"/>
      <c r="D62" s="170"/>
      <c r="E62" s="563"/>
      <c r="F62" s="692"/>
      <c r="G62" s="692"/>
      <c r="H62" s="692"/>
      <c r="I62" s="605"/>
      <c r="J62" s="606"/>
      <c r="K62" s="605"/>
      <c r="L62" s="607"/>
      <c r="M62" s="608"/>
      <c r="N62" s="608"/>
      <c r="O62" s="607"/>
      <c r="P62" s="609"/>
      <c r="U62" s="207"/>
      <c r="Y62" s="189"/>
    </row>
    <row r="63" spans="1:25">
      <c r="A63" s="156" t="str">
        <f t="shared" si="9"/>
        <v/>
      </c>
      <c r="B63" s="262"/>
      <c r="C63" s="827"/>
      <c r="D63" s="153"/>
      <c r="E63" s="710"/>
      <c r="F63" s="690"/>
      <c r="G63" s="690"/>
      <c r="H63" s="585"/>
      <c r="I63" s="585"/>
      <c r="J63" s="585"/>
      <c r="K63" s="585"/>
      <c r="L63" s="585"/>
      <c r="M63" s="175"/>
      <c r="N63" s="175"/>
      <c r="O63" s="175"/>
      <c r="P63" s="585"/>
      <c r="Q63" s="69"/>
      <c r="R63" s="69"/>
      <c r="S63" s="69"/>
      <c r="T63" s="903"/>
      <c r="U63" s="202"/>
      <c r="V63" s="69"/>
      <c r="W63" s="69"/>
      <c r="Y63" s="189"/>
    </row>
    <row r="64" spans="1:25" ht="13.5" thickBot="1">
      <c r="A64" s="156" t="str">
        <f t="shared" ref="A64:A88" si="30">IF(ISNUMBER(E64),ROW(),"")</f>
        <v/>
      </c>
      <c r="B64" s="266">
        <f>MAX($B$8:B63)+0.01</f>
        <v>6.0299999999999994</v>
      </c>
      <c r="C64" s="723" t="s">
        <v>611</v>
      </c>
      <c r="D64" s="95"/>
      <c r="E64" s="713"/>
      <c r="F64" s="683"/>
      <c r="G64" s="683"/>
      <c r="H64" s="684"/>
      <c r="I64" s="684"/>
      <c r="J64" s="684"/>
      <c r="K64" s="684"/>
      <c r="L64" s="684"/>
      <c r="M64" s="685"/>
      <c r="N64" s="685"/>
      <c r="O64" s="685"/>
      <c r="P64" s="686" t="s">
        <v>612</v>
      </c>
      <c r="U64" s="204"/>
      <c r="Y64" s="189"/>
    </row>
    <row r="65" spans="1:26">
      <c r="A65" s="156" t="str">
        <f t="shared" si="30"/>
        <v/>
      </c>
      <c r="B65" s="262"/>
      <c r="C65" s="825"/>
      <c r="D65" s="826"/>
      <c r="E65" s="709"/>
      <c r="F65" s="687"/>
      <c r="G65" s="687"/>
      <c r="H65" s="589"/>
      <c r="I65" s="589"/>
      <c r="J65" s="589"/>
      <c r="K65" s="589"/>
      <c r="L65" s="589"/>
      <c r="M65" s="688"/>
      <c r="N65" s="688"/>
      <c r="O65" s="688"/>
      <c r="P65" s="689"/>
      <c r="Q65" s="69"/>
      <c r="R65" s="69"/>
      <c r="S65" s="69"/>
      <c r="T65" s="903"/>
      <c r="U65" s="205"/>
      <c r="V65" s="69"/>
      <c r="W65" s="69"/>
      <c r="Y65" s="189"/>
    </row>
    <row r="66" spans="1:26">
      <c r="A66" s="183" t="str">
        <f t="shared" si="30"/>
        <v/>
      </c>
      <c r="C66" s="821" t="s">
        <v>458</v>
      </c>
      <c r="D66" s="167"/>
      <c r="E66" s="560"/>
      <c r="F66" s="629"/>
      <c r="G66" s="629"/>
      <c r="H66" s="629"/>
      <c r="I66" s="594"/>
      <c r="J66" s="595"/>
      <c r="K66" s="594"/>
      <c r="L66" s="596"/>
      <c r="M66" s="598"/>
      <c r="N66" s="598"/>
      <c r="O66" s="596"/>
      <c r="P66" s="599"/>
      <c r="U66" s="195"/>
      <c r="Y66" s="189"/>
    </row>
    <row r="67" spans="1:26">
      <c r="A67" s="254"/>
      <c r="C67" s="821" t="s">
        <v>456</v>
      </c>
      <c r="D67" s="167"/>
      <c r="E67" s="560"/>
      <c r="F67" s="629"/>
      <c r="G67" s="629"/>
      <c r="H67" s="629"/>
      <c r="I67" s="594"/>
      <c r="J67" s="595"/>
      <c r="K67" s="594"/>
      <c r="L67" s="596"/>
      <c r="M67" s="598"/>
      <c r="N67" s="598"/>
      <c r="O67" s="596"/>
      <c r="P67" s="599"/>
      <c r="U67" s="195"/>
      <c r="Y67" s="255"/>
    </row>
    <row r="68" spans="1:26">
      <c r="A68" s="254"/>
      <c r="C68" s="821"/>
      <c r="D68" s="167"/>
      <c r="E68" s="560"/>
      <c r="F68" s="629"/>
      <c r="G68" s="629"/>
      <c r="H68" s="629"/>
      <c r="I68" s="594"/>
      <c r="J68" s="595"/>
      <c r="K68" s="594"/>
      <c r="L68" s="596"/>
      <c r="M68" s="598"/>
      <c r="N68" s="598"/>
      <c r="O68" s="596"/>
      <c r="P68" s="599"/>
      <c r="U68" s="195"/>
      <c r="Y68" s="255"/>
    </row>
    <row r="69" spans="1:26">
      <c r="A69" s="254"/>
      <c r="C69" s="822" t="s">
        <v>284</v>
      </c>
      <c r="D69" s="167"/>
      <c r="E69" s="560"/>
      <c r="F69" s="629"/>
      <c r="G69" s="629"/>
      <c r="H69" s="629"/>
      <c r="I69" s="594"/>
      <c r="J69" s="595"/>
      <c r="K69" s="594"/>
      <c r="L69" s="596"/>
      <c r="M69" s="598"/>
      <c r="N69" s="598"/>
      <c r="O69" s="596"/>
      <c r="P69" s="599"/>
      <c r="U69" s="195"/>
      <c r="Y69" s="255"/>
    </row>
    <row r="70" spans="1:26">
      <c r="A70" s="156">
        <f t="shared" si="30"/>
        <v>70</v>
      </c>
      <c r="B70" s="262"/>
      <c r="C70" s="726" t="s">
        <v>681</v>
      </c>
      <c r="D70" s="153"/>
      <c r="E70" s="678">
        <v>78000</v>
      </c>
      <c r="F70" s="629">
        <v>2500</v>
      </c>
      <c r="G70" s="629">
        <v>250</v>
      </c>
      <c r="H70" s="630">
        <v>50</v>
      </c>
      <c r="I70" s="594">
        <f t="shared" ref="I70:I80" si="31">MROUND(E70*(1-$E$677/100)/F70,0.05)</f>
        <v>28.1</v>
      </c>
      <c r="J70" s="595">
        <f t="shared" ref="J70:J80" si="32">MROUND($E70*(1+$E$677/100)/2*$E$682/100/$G70,0.05)</f>
        <v>2.5500000000000003</v>
      </c>
      <c r="K70" s="600">
        <f t="shared" ref="K70:K80" si="33">MROUND($E70*(1+$E$677/100)/2*$E$678/100/$G70,0.05)</f>
        <v>18</v>
      </c>
      <c r="L70" s="601">
        <f t="shared" ref="L70:L80" si="34">SUM(I70:K70)</f>
        <v>48.650000000000006</v>
      </c>
      <c r="M70" s="691">
        <f t="shared" ref="M70:M80" si="35">MROUND($E70*$H70/100/$F70,0.05)</f>
        <v>15.600000000000001</v>
      </c>
      <c r="N70" s="650">
        <f t="shared" ref="N70:N80" si="36">MROUND(Y70*Z70,0.05)</f>
        <v>0</v>
      </c>
      <c r="O70" s="601">
        <f t="shared" ref="O70:O80" si="37">SUM(M70:N70)</f>
        <v>15.600000000000001</v>
      </c>
      <c r="P70" s="599">
        <f t="shared" ref="P70:P80" si="38">O70+L70</f>
        <v>64.25</v>
      </c>
      <c r="Q70" s="69"/>
      <c r="R70" s="69"/>
      <c r="S70" s="69"/>
      <c r="T70" s="903"/>
      <c r="U70" s="208">
        <f>9*3</f>
        <v>27</v>
      </c>
      <c r="V70" s="69"/>
      <c r="W70" s="69"/>
      <c r="Y70" s="189"/>
    </row>
    <row r="71" spans="1:26">
      <c r="A71" s="156">
        <f t="shared" si="30"/>
        <v>71</v>
      </c>
      <c r="B71" s="262"/>
      <c r="C71" s="726" t="s">
        <v>682</v>
      </c>
      <c r="D71" s="153"/>
      <c r="E71" s="678">
        <v>100250</v>
      </c>
      <c r="F71" s="629">
        <v>2500</v>
      </c>
      <c r="G71" s="629">
        <v>250</v>
      </c>
      <c r="H71" s="630">
        <v>50</v>
      </c>
      <c r="I71" s="594">
        <f t="shared" si="31"/>
        <v>36.1</v>
      </c>
      <c r="J71" s="595">
        <f t="shared" si="32"/>
        <v>3.3000000000000003</v>
      </c>
      <c r="K71" s="600">
        <f t="shared" si="33"/>
        <v>23.150000000000002</v>
      </c>
      <c r="L71" s="601">
        <f t="shared" si="34"/>
        <v>62.55</v>
      </c>
      <c r="M71" s="691">
        <f t="shared" si="35"/>
        <v>20.05</v>
      </c>
      <c r="N71" s="650">
        <f t="shared" si="36"/>
        <v>0</v>
      </c>
      <c r="O71" s="601">
        <f t="shared" si="37"/>
        <v>20.05</v>
      </c>
      <c r="P71" s="599">
        <f t="shared" si="38"/>
        <v>82.6</v>
      </c>
      <c r="Q71" s="69"/>
      <c r="R71" s="69"/>
      <c r="S71" s="69"/>
      <c r="T71" s="903"/>
      <c r="U71" s="208">
        <f>9*5</f>
        <v>45</v>
      </c>
      <c r="V71" s="69"/>
      <c r="W71" s="69"/>
      <c r="Y71" s="189"/>
    </row>
    <row r="72" spans="1:26">
      <c r="A72" s="156">
        <f t="shared" si="30"/>
        <v>72</v>
      </c>
      <c r="B72" s="262"/>
      <c r="C72" s="726" t="s">
        <v>683</v>
      </c>
      <c r="D72" s="153"/>
      <c r="E72" s="678">
        <v>125250</v>
      </c>
      <c r="F72" s="629">
        <v>2500</v>
      </c>
      <c r="G72" s="629">
        <v>250</v>
      </c>
      <c r="H72" s="630">
        <v>50</v>
      </c>
      <c r="I72" s="594">
        <f t="shared" si="31"/>
        <v>45.1</v>
      </c>
      <c r="J72" s="595">
        <f t="shared" si="32"/>
        <v>4.1500000000000004</v>
      </c>
      <c r="K72" s="600">
        <f t="shared" si="33"/>
        <v>28.950000000000003</v>
      </c>
      <c r="L72" s="601">
        <f t="shared" si="34"/>
        <v>78.2</v>
      </c>
      <c r="M72" s="691">
        <f t="shared" si="35"/>
        <v>25.05</v>
      </c>
      <c r="N72" s="650">
        <f t="shared" si="36"/>
        <v>0</v>
      </c>
      <c r="O72" s="601">
        <f t="shared" si="37"/>
        <v>25.05</v>
      </c>
      <c r="P72" s="599">
        <f t="shared" si="38"/>
        <v>103.25</v>
      </c>
      <c r="Q72" s="69"/>
      <c r="R72" s="69"/>
      <c r="S72" s="69"/>
      <c r="T72" s="903"/>
      <c r="U72" s="208">
        <f>9*7</f>
        <v>63</v>
      </c>
      <c r="V72" s="69"/>
      <c r="W72" s="69"/>
      <c r="Y72" s="189"/>
    </row>
    <row r="73" spans="1:26">
      <c r="A73" s="156">
        <f t="shared" si="30"/>
        <v>73</v>
      </c>
      <c r="B73" s="262"/>
      <c r="C73" s="726" t="s">
        <v>684</v>
      </c>
      <c r="D73" s="153"/>
      <c r="E73" s="678">
        <v>161750</v>
      </c>
      <c r="F73" s="629">
        <v>2500</v>
      </c>
      <c r="G73" s="629">
        <v>250</v>
      </c>
      <c r="H73" s="630">
        <v>50</v>
      </c>
      <c r="I73" s="594">
        <f t="shared" si="31"/>
        <v>58.25</v>
      </c>
      <c r="J73" s="595">
        <f t="shared" si="32"/>
        <v>5.3500000000000005</v>
      </c>
      <c r="K73" s="600">
        <f t="shared" si="33"/>
        <v>37.35</v>
      </c>
      <c r="L73" s="601">
        <f t="shared" si="34"/>
        <v>100.95</v>
      </c>
      <c r="M73" s="691">
        <f t="shared" si="35"/>
        <v>32.35</v>
      </c>
      <c r="N73" s="650">
        <f t="shared" si="36"/>
        <v>0</v>
      </c>
      <c r="O73" s="601">
        <f t="shared" si="37"/>
        <v>32.35</v>
      </c>
      <c r="P73" s="599">
        <f t="shared" si="38"/>
        <v>133.30000000000001</v>
      </c>
      <c r="Q73" s="69"/>
      <c r="R73" s="69"/>
      <c r="S73" s="69"/>
      <c r="T73" s="903"/>
      <c r="U73" s="208">
        <f>9*9</f>
        <v>81</v>
      </c>
      <c r="V73" s="69"/>
      <c r="W73" s="69"/>
      <c r="Y73" s="189"/>
    </row>
    <row r="74" spans="1:26">
      <c r="A74" s="156">
        <f t="shared" si="30"/>
        <v>74</v>
      </c>
      <c r="B74" s="262"/>
      <c r="C74" s="726" t="s">
        <v>685</v>
      </c>
      <c r="D74" s="153"/>
      <c r="E74" s="678">
        <v>190500</v>
      </c>
      <c r="F74" s="629">
        <v>2500</v>
      </c>
      <c r="G74" s="629">
        <v>250</v>
      </c>
      <c r="H74" s="630">
        <v>50</v>
      </c>
      <c r="I74" s="594">
        <f t="shared" si="31"/>
        <v>68.600000000000009</v>
      </c>
      <c r="J74" s="595">
        <f t="shared" si="32"/>
        <v>6.3000000000000007</v>
      </c>
      <c r="K74" s="600">
        <f t="shared" si="33"/>
        <v>44</v>
      </c>
      <c r="L74" s="601">
        <f t="shared" si="34"/>
        <v>118.9</v>
      </c>
      <c r="M74" s="691">
        <f t="shared" si="35"/>
        <v>38.1</v>
      </c>
      <c r="N74" s="650">
        <f t="shared" si="36"/>
        <v>0</v>
      </c>
      <c r="O74" s="601">
        <f t="shared" si="37"/>
        <v>38.1</v>
      </c>
      <c r="P74" s="599">
        <f t="shared" si="38"/>
        <v>157</v>
      </c>
      <c r="Q74" s="69"/>
      <c r="R74" s="69"/>
      <c r="S74" s="69"/>
      <c r="T74" s="903"/>
      <c r="U74" s="208">
        <f>9*11</f>
        <v>99</v>
      </c>
      <c r="V74" s="69"/>
      <c r="W74" s="69"/>
      <c r="Y74" s="189"/>
    </row>
    <row r="75" spans="1:26">
      <c r="A75" s="156">
        <f t="shared" si="30"/>
        <v>75</v>
      </c>
      <c r="B75" s="262"/>
      <c r="C75" s="726" t="s">
        <v>686</v>
      </c>
      <c r="D75" s="153"/>
      <c r="E75" s="678">
        <v>219000</v>
      </c>
      <c r="F75" s="629">
        <v>2500</v>
      </c>
      <c r="G75" s="629">
        <v>250</v>
      </c>
      <c r="H75" s="630">
        <v>50</v>
      </c>
      <c r="I75" s="594">
        <f t="shared" si="31"/>
        <v>78.850000000000009</v>
      </c>
      <c r="J75" s="595">
        <f t="shared" si="32"/>
        <v>7.25</v>
      </c>
      <c r="K75" s="600">
        <f t="shared" si="33"/>
        <v>50.6</v>
      </c>
      <c r="L75" s="601">
        <f t="shared" si="34"/>
        <v>136.70000000000002</v>
      </c>
      <c r="M75" s="691">
        <f t="shared" si="35"/>
        <v>43.800000000000004</v>
      </c>
      <c r="N75" s="650">
        <f t="shared" si="36"/>
        <v>0</v>
      </c>
      <c r="O75" s="601">
        <f t="shared" si="37"/>
        <v>43.800000000000004</v>
      </c>
      <c r="P75" s="599">
        <f t="shared" si="38"/>
        <v>180.50000000000003</v>
      </c>
      <c r="Q75" s="69"/>
      <c r="R75" s="69"/>
      <c r="S75" s="69"/>
      <c r="T75" s="903"/>
      <c r="U75" s="208">
        <f>9*13</f>
        <v>117</v>
      </c>
      <c r="V75" s="69"/>
      <c r="W75" s="69"/>
      <c r="Y75" s="189"/>
    </row>
    <row r="76" spans="1:26">
      <c r="A76" s="156">
        <f t="shared" si="30"/>
        <v>76</v>
      </c>
      <c r="B76" s="262"/>
      <c r="C76" s="726" t="s">
        <v>687</v>
      </c>
      <c r="D76" s="153"/>
      <c r="E76" s="678">
        <v>245500</v>
      </c>
      <c r="F76" s="629">
        <v>2500</v>
      </c>
      <c r="G76" s="629">
        <v>250</v>
      </c>
      <c r="H76" s="630">
        <v>50</v>
      </c>
      <c r="I76" s="594">
        <f t="shared" si="31"/>
        <v>88.4</v>
      </c>
      <c r="J76" s="595">
        <f t="shared" si="32"/>
        <v>8.1</v>
      </c>
      <c r="K76" s="600">
        <f t="shared" si="33"/>
        <v>56.7</v>
      </c>
      <c r="L76" s="601">
        <f t="shared" si="34"/>
        <v>153.19999999999999</v>
      </c>
      <c r="M76" s="691">
        <f t="shared" si="35"/>
        <v>49.1</v>
      </c>
      <c r="N76" s="650">
        <f t="shared" si="36"/>
        <v>0</v>
      </c>
      <c r="O76" s="601">
        <f t="shared" si="37"/>
        <v>49.1</v>
      </c>
      <c r="P76" s="599">
        <f t="shared" si="38"/>
        <v>202.29999999999998</v>
      </c>
      <c r="Q76" s="69"/>
      <c r="R76" s="69"/>
      <c r="S76" s="69"/>
      <c r="T76" s="903"/>
      <c r="U76" s="208">
        <f>9*15</f>
        <v>135</v>
      </c>
      <c r="V76" s="69"/>
      <c r="W76" s="69"/>
      <c r="Y76" s="189"/>
      <c r="Z76" s="69"/>
    </row>
    <row r="77" spans="1:26">
      <c r="A77" s="310">
        <f t="shared" ref="A77" si="39">IF(ISNUMBER(E77),ROW(),"")</f>
        <v>77</v>
      </c>
      <c r="B77" s="262"/>
      <c r="C77" s="726" t="s">
        <v>1312</v>
      </c>
      <c r="D77" s="153"/>
      <c r="E77" s="678">
        <v>320500</v>
      </c>
      <c r="F77" s="629">
        <v>2500</v>
      </c>
      <c r="G77" s="629">
        <v>250</v>
      </c>
      <c r="H77" s="630">
        <v>50</v>
      </c>
      <c r="I77" s="594">
        <f t="shared" si="31"/>
        <v>115.4</v>
      </c>
      <c r="J77" s="595">
        <f t="shared" si="32"/>
        <v>10.600000000000001</v>
      </c>
      <c r="K77" s="600">
        <f t="shared" si="33"/>
        <v>74.05</v>
      </c>
      <c r="L77" s="601">
        <f t="shared" ref="L77" si="40">SUM(I77:K77)</f>
        <v>200.05</v>
      </c>
      <c r="M77" s="691">
        <f t="shared" si="35"/>
        <v>64.100000000000009</v>
      </c>
      <c r="N77" s="650">
        <f t="shared" ref="N77" si="41">MROUND(Y77*Z77,0.05)</f>
        <v>0</v>
      </c>
      <c r="O77" s="601">
        <f t="shared" ref="O77" si="42">SUM(M77:N77)</f>
        <v>64.100000000000009</v>
      </c>
      <c r="P77" s="599">
        <f t="shared" ref="P77" si="43">O77+L77</f>
        <v>264.15000000000003</v>
      </c>
      <c r="Q77" s="69"/>
      <c r="R77" s="69"/>
      <c r="S77" s="69"/>
      <c r="T77" s="903"/>
      <c r="U77" s="208">
        <f>9*17</f>
        <v>153</v>
      </c>
      <c r="V77" s="69"/>
      <c r="W77" s="69"/>
      <c r="Y77" s="772"/>
      <c r="Z77" s="69"/>
    </row>
    <row r="78" spans="1:26">
      <c r="A78" s="156">
        <f t="shared" si="30"/>
        <v>78</v>
      </c>
      <c r="B78" s="262"/>
      <c r="C78" s="726" t="s">
        <v>688</v>
      </c>
      <c r="D78" s="153"/>
      <c r="E78" s="678">
        <v>381250</v>
      </c>
      <c r="F78" s="629">
        <v>2500</v>
      </c>
      <c r="G78" s="629">
        <v>250</v>
      </c>
      <c r="H78" s="630">
        <v>50</v>
      </c>
      <c r="I78" s="594">
        <f t="shared" si="31"/>
        <v>137.25</v>
      </c>
      <c r="J78" s="595">
        <f t="shared" si="32"/>
        <v>12.600000000000001</v>
      </c>
      <c r="K78" s="600">
        <f t="shared" si="33"/>
        <v>88.050000000000011</v>
      </c>
      <c r="L78" s="601">
        <f t="shared" si="34"/>
        <v>237.9</v>
      </c>
      <c r="M78" s="691">
        <f t="shared" si="35"/>
        <v>76.25</v>
      </c>
      <c r="N78" s="650">
        <f t="shared" si="36"/>
        <v>0</v>
      </c>
      <c r="O78" s="601">
        <f t="shared" si="37"/>
        <v>76.25</v>
      </c>
      <c r="P78" s="599">
        <f t="shared" si="38"/>
        <v>314.14999999999998</v>
      </c>
      <c r="Q78" s="69"/>
      <c r="R78" s="69"/>
      <c r="S78" s="69"/>
      <c r="T78" s="903"/>
      <c r="U78" s="208">
        <f>9*19</f>
        <v>171</v>
      </c>
      <c r="V78" s="69"/>
      <c r="W78" s="69"/>
      <c r="Y78" s="189"/>
      <c r="Z78" s="69"/>
    </row>
    <row r="79" spans="1:26">
      <c r="A79" s="156">
        <f t="shared" si="30"/>
        <v>79</v>
      </c>
      <c r="B79" s="262"/>
      <c r="C79" s="726" t="s">
        <v>689</v>
      </c>
      <c r="D79" s="153"/>
      <c r="E79" s="678">
        <v>417750</v>
      </c>
      <c r="F79" s="629">
        <v>2500</v>
      </c>
      <c r="G79" s="629">
        <v>250</v>
      </c>
      <c r="H79" s="630">
        <v>50</v>
      </c>
      <c r="I79" s="594">
        <f t="shared" si="31"/>
        <v>150.4</v>
      </c>
      <c r="J79" s="595">
        <f t="shared" si="32"/>
        <v>13.8</v>
      </c>
      <c r="K79" s="600">
        <f t="shared" si="33"/>
        <v>96.5</v>
      </c>
      <c r="L79" s="601">
        <f t="shared" si="34"/>
        <v>260.70000000000005</v>
      </c>
      <c r="M79" s="691">
        <f t="shared" si="35"/>
        <v>83.550000000000011</v>
      </c>
      <c r="N79" s="650">
        <f t="shared" si="36"/>
        <v>0</v>
      </c>
      <c r="O79" s="601">
        <f t="shared" si="37"/>
        <v>83.550000000000011</v>
      </c>
      <c r="P79" s="599">
        <f t="shared" si="38"/>
        <v>344.25000000000006</v>
      </c>
      <c r="Q79" s="69"/>
      <c r="R79" s="69"/>
      <c r="S79" s="69"/>
      <c r="T79" s="903"/>
      <c r="U79" s="208">
        <f>9*21</f>
        <v>189</v>
      </c>
      <c r="V79" s="69"/>
      <c r="W79" s="69"/>
      <c r="Y79" s="189"/>
      <c r="Z79" s="69"/>
    </row>
    <row r="80" spans="1:26">
      <c r="A80" s="156">
        <f t="shared" si="30"/>
        <v>80</v>
      </c>
      <c r="B80" s="262"/>
      <c r="C80" s="726" t="s">
        <v>690</v>
      </c>
      <c r="D80" s="153"/>
      <c r="E80" s="678">
        <v>435250</v>
      </c>
      <c r="F80" s="629">
        <v>2500</v>
      </c>
      <c r="G80" s="629">
        <v>250</v>
      </c>
      <c r="H80" s="630">
        <v>50</v>
      </c>
      <c r="I80" s="594">
        <f t="shared" si="31"/>
        <v>156.70000000000002</v>
      </c>
      <c r="J80" s="595">
        <f t="shared" si="32"/>
        <v>14.350000000000001</v>
      </c>
      <c r="K80" s="600">
        <f t="shared" si="33"/>
        <v>100.55000000000001</v>
      </c>
      <c r="L80" s="601">
        <f t="shared" si="34"/>
        <v>271.60000000000002</v>
      </c>
      <c r="M80" s="691">
        <f t="shared" si="35"/>
        <v>87.050000000000011</v>
      </c>
      <c r="N80" s="650">
        <f t="shared" si="36"/>
        <v>0</v>
      </c>
      <c r="O80" s="601">
        <f t="shared" si="37"/>
        <v>87.050000000000011</v>
      </c>
      <c r="P80" s="599">
        <f t="shared" si="38"/>
        <v>358.65000000000003</v>
      </c>
      <c r="Q80" s="69"/>
      <c r="R80" s="69"/>
      <c r="S80" s="69"/>
      <c r="T80" s="903"/>
      <c r="U80" s="208">
        <f>9*23</f>
        <v>207</v>
      </c>
      <c r="V80" s="69"/>
      <c r="W80" s="69"/>
      <c r="Y80" s="189"/>
      <c r="Z80" s="69"/>
    </row>
    <row r="81" spans="1:26">
      <c r="A81" s="310" t="str">
        <f t="shared" si="30"/>
        <v/>
      </c>
      <c r="C81" s="821"/>
      <c r="D81" s="167"/>
      <c r="E81" s="790"/>
      <c r="F81" s="629"/>
      <c r="G81" s="629"/>
      <c r="H81" s="629"/>
      <c r="I81" s="594"/>
      <c r="J81" s="595"/>
      <c r="K81" s="594"/>
      <c r="L81" s="596"/>
      <c r="M81" s="598"/>
      <c r="N81" s="598"/>
      <c r="O81" s="596"/>
      <c r="P81" s="599"/>
      <c r="U81" s="195"/>
      <c r="Y81" s="443"/>
      <c r="Z81" s="69"/>
    </row>
    <row r="82" spans="1:26">
      <c r="A82" s="254"/>
      <c r="C82" s="822" t="s">
        <v>285</v>
      </c>
      <c r="D82" s="167"/>
      <c r="E82" s="790"/>
      <c r="F82" s="629"/>
      <c r="G82" s="629"/>
      <c r="H82" s="629"/>
      <c r="I82" s="594"/>
      <c r="J82" s="595"/>
      <c r="K82" s="594"/>
      <c r="L82" s="596"/>
      <c r="M82" s="598"/>
      <c r="N82" s="598"/>
      <c r="O82" s="596"/>
      <c r="P82" s="599"/>
      <c r="U82" s="195"/>
      <c r="Y82" s="255"/>
      <c r="Z82" s="69"/>
    </row>
    <row r="83" spans="1:26">
      <c r="A83" s="310">
        <f t="shared" ref="A83:A84" si="44">IF(ISNUMBER(E83),ROW(),"")</f>
        <v>83</v>
      </c>
      <c r="B83" s="262"/>
      <c r="C83" s="726" t="s">
        <v>1313</v>
      </c>
      <c r="D83" s="153"/>
      <c r="E83" s="678">
        <v>628000</v>
      </c>
      <c r="F83" s="629">
        <v>2500</v>
      </c>
      <c r="G83" s="629">
        <v>250</v>
      </c>
      <c r="H83" s="630">
        <v>50</v>
      </c>
      <c r="I83" s="594">
        <f t="shared" ref="I83:I88" si="45">MROUND(E83*(1-$E$677/100)/F83,0.05)</f>
        <v>226.10000000000002</v>
      </c>
      <c r="J83" s="595">
        <f t="shared" ref="J83:J88" si="46">MROUND($E83*(1+$E$677/100)/2*$E$682/100/$G83,0.05)</f>
        <v>20.700000000000003</v>
      </c>
      <c r="K83" s="600">
        <f t="shared" ref="K83:K88" si="47">MROUND($E83*(1+$E$677/100)/2*$E$678/100/$G83,0.05)</f>
        <v>145.05000000000001</v>
      </c>
      <c r="L83" s="601">
        <f t="shared" ref="L83:L84" si="48">SUM(I83:K83)</f>
        <v>391.85</v>
      </c>
      <c r="M83" s="691">
        <f t="shared" ref="M83:M88" si="49">MROUND($E83*$H83/100/$F83,0.05)</f>
        <v>125.60000000000001</v>
      </c>
      <c r="N83" s="650">
        <f t="shared" ref="N83:N84" si="50">MROUND(Y83*Z83,0.05)</f>
        <v>0</v>
      </c>
      <c r="O83" s="601">
        <f t="shared" ref="O83:O84" si="51">SUM(M83:N83)</f>
        <v>125.60000000000001</v>
      </c>
      <c r="P83" s="599">
        <f t="shared" ref="P83:P84" si="52">O83+L83</f>
        <v>517.45000000000005</v>
      </c>
      <c r="Q83" s="69"/>
      <c r="R83" s="69"/>
      <c r="S83" s="69"/>
      <c r="T83" s="903"/>
      <c r="U83" s="208">
        <f>9*15</f>
        <v>135</v>
      </c>
      <c r="V83" s="69"/>
      <c r="W83" s="69"/>
      <c r="Y83" s="772"/>
      <c r="Z83" s="69"/>
    </row>
    <row r="84" spans="1:26">
      <c r="A84" s="310">
        <f t="shared" si="44"/>
        <v>84</v>
      </c>
      <c r="B84" s="262"/>
      <c r="C84" s="726" t="s">
        <v>1314</v>
      </c>
      <c r="D84" s="153"/>
      <c r="E84" s="678">
        <v>646000</v>
      </c>
      <c r="F84" s="629">
        <v>2500</v>
      </c>
      <c r="G84" s="629">
        <v>250</v>
      </c>
      <c r="H84" s="630">
        <v>50</v>
      </c>
      <c r="I84" s="594">
        <f t="shared" si="45"/>
        <v>232.55</v>
      </c>
      <c r="J84" s="595">
        <f t="shared" si="46"/>
        <v>21.3</v>
      </c>
      <c r="K84" s="600">
        <f t="shared" si="47"/>
        <v>149.25</v>
      </c>
      <c r="L84" s="601">
        <f t="shared" si="48"/>
        <v>403.1</v>
      </c>
      <c r="M84" s="691">
        <f t="shared" si="49"/>
        <v>129.20000000000002</v>
      </c>
      <c r="N84" s="650">
        <f t="shared" si="50"/>
        <v>0</v>
      </c>
      <c r="O84" s="601">
        <f t="shared" si="51"/>
        <v>129.20000000000002</v>
      </c>
      <c r="P84" s="599">
        <f t="shared" si="52"/>
        <v>532.30000000000007</v>
      </c>
      <c r="Q84" s="69"/>
      <c r="R84" s="69"/>
      <c r="S84" s="69"/>
      <c r="T84" s="903"/>
      <c r="U84" s="208">
        <f>9*17</f>
        <v>153</v>
      </c>
      <c r="V84" s="69"/>
      <c r="W84" s="69"/>
      <c r="Y84" s="772"/>
      <c r="Z84" s="69"/>
    </row>
    <row r="85" spans="1:26">
      <c r="A85" s="183">
        <f t="shared" si="30"/>
        <v>85</v>
      </c>
      <c r="B85" s="262"/>
      <c r="C85" s="726" t="s">
        <v>691</v>
      </c>
      <c r="D85" s="153"/>
      <c r="E85" s="678">
        <v>664000</v>
      </c>
      <c r="F85" s="629">
        <v>2500</v>
      </c>
      <c r="G85" s="629">
        <v>250</v>
      </c>
      <c r="H85" s="630">
        <v>50</v>
      </c>
      <c r="I85" s="594">
        <f t="shared" si="45"/>
        <v>239.05</v>
      </c>
      <c r="J85" s="595">
        <f t="shared" si="46"/>
        <v>21.900000000000002</v>
      </c>
      <c r="K85" s="600">
        <f t="shared" si="47"/>
        <v>153.4</v>
      </c>
      <c r="L85" s="601">
        <f t="shared" ref="L85:L88" si="53">SUM(I85:K85)</f>
        <v>414.35</v>
      </c>
      <c r="M85" s="691">
        <f t="shared" si="49"/>
        <v>132.80000000000001</v>
      </c>
      <c r="N85" s="650">
        <f t="shared" ref="N85:N88" si="54">MROUND(Y85*Z85,0.05)</f>
        <v>0</v>
      </c>
      <c r="O85" s="601">
        <f t="shared" ref="O85:O88" si="55">SUM(M85:N85)</f>
        <v>132.80000000000001</v>
      </c>
      <c r="P85" s="599">
        <f t="shared" ref="P85:P88" si="56">O85+L85</f>
        <v>547.15000000000009</v>
      </c>
      <c r="Q85" s="69"/>
      <c r="R85" s="69"/>
      <c r="S85" s="69"/>
      <c r="T85" s="903"/>
      <c r="U85" s="208">
        <f>9*19</f>
        <v>171</v>
      </c>
      <c r="V85" s="69"/>
      <c r="W85" s="69"/>
      <c r="Y85" s="217"/>
      <c r="Z85" s="69"/>
    </row>
    <row r="86" spans="1:26">
      <c r="A86" s="183">
        <f t="shared" si="30"/>
        <v>86</v>
      </c>
      <c r="B86" s="262"/>
      <c r="C86" s="726" t="s">
        <v>692</v>
      </c>
      <c r="D86" s="153"/>
      <c r="E86" s="678">
        <v>682000</v>
      </c>
      <c r="F86" s="629">
        <v>2500</v>
      </c>
      <c r="G86" s="629">
        <v>250</v>
      </c>
      <c r="H86" s="630">
        <v>50</v>
      </c>
      <c r="I86" s="594">
        <f t="shared" si="45"/>
        <v>245.5</v>
      </c>
      <c r="J86" s="595">
        <f t="shared" si="46"/>
        <v>22.5</v>
      </c>
      <c r="K86" s="600">
        <f t="shared" si="47"/>
        <v>157.55000000000001</v>
      </c>
      <c r="L86" s="601">
        <f t="shared" si="53"/>
        <v>425.55</v>
      </c>
      <c r="M86" s="691">
        <f t="shared" si="49"/>
        <v>136.4</v>
      </c>
      <c r="N86" s="650">
        <f t="shared" si="54"/>
        <v>0</v>
      </c>
      <c r="O86" s="601">
        <f t="shared" si="55"/>
        <v>136.4</v>
      </c>
      <c r="P86" s="599">
        <f t="shared" si="56"/>
        <v>561.95000000000005</v>
      </c>
      <c r="Q86" s="69"/>
      <c r="R86" s="69"/>
      <c r="S86" s="69"/>
      <c r="T86" s="903"/>
      <c r="U86" s="208">
        <f>9*23</f>
        <v>207</v>
      </c>
      <c r="V86" s="69"/>
      <c r="W86" s="69"/>
      <c r="Y86" s="189"/>
      <c r="Z86" s="69"/>
    </row>
    <row r="87" spans="1:26">
      <c r="A87" s="156">
        <f t="shared" si="30"/>
        <v>87</v>
      </c>
      <c r="B87" s="262"/>
      <c r="C87" s="726" t="s">
        <v>693</v>
      </c>
      <c r="D87" s="153"/>
      <c r="E87" s="678">
        <v>700000</v>
      </c>
      <c r="F87" s="629">
        <v>2500</v>
      </c>
      <c r="G87" s="629">
        <v>250</v>
      </c>
      <c r="H87" s="630">
        <v>50</v>
      </c>
      <c r="I87" s="594">
        <f t="shared" si="45"/>
        <v>252</v>
      </c>
      <c r="J87" s="595">
        <f t="shared" si="46"/>
        <v>23.1</v>
      </c>
      <c r="K87" s="600">
        <f t="shared" si="47"/>
        <v>161.70000000000002</v>
      </c>
      <c r="L87" s="601">
        <f t="shared" si="53"/>
        <v>436.80000000000007</v>
      </c>
      <c r="M87" s="691">
        <f t="shared" si="49"/>
        <v>140</v>
      </c>
      <c r="N87" s="650">
        <f t="shared" si="54"/>
        <v>0</v>
      </c>
      <c r="O87" s="601">
        <f t="shared" si="55"/>
        <v>140</v>
      </c>
      <c r="P87" s="599">
        <f t="shared" si="56"/>
        <v>576.80000000000007</v>
      </c>
      <c r="Q87" s="69"/>
      <c r="R87" s="69"/>
      <c r="S87" s="69"/>
      <c r="T87" s="903"/>
      <c r="U87" s="208">
        <f>9*25</f>
        <v>225</v>
      </c>
      <c r="V87" s="69"/>
      <c r="W87" s="69"/>
      <c r="Y87" s="189"/>
      <c r="Z87" s="69"/>
    </row>
    <row r="88" spans="1:26">
      <c r="A88" s="156">
        <f t="shared" si="30"/>
        <v>88</v>
      </c>
      <c r="B88" s="262"/>
      <c r="C88" s="726" t="s">
        <v>694</v>
      </c>
      <c r="D88" s="153"/>
      <c r="E88" s="678">
        <v>718000</v>
      </c>
      <c r="F88" s="629">
        <v>2500</v>
      </c>
      <c r="G88" s="629">
        <v>250</v>
      </c>
      <c r="H88" s="630">
        <v>50</v>
      </c>
      <c r="I88" s="594">
        <f t="shared" si="45"/>
        <v>258.5</v>
      </c>
      <c r="J88" s="595">
        <f t="shared" si="46"/>
        <v>23.700000000000003</v>
      </c>
      <c r="K88" s="600">
        <f t="shared" si="47"/>
        <v>165.85000000000002</v>
      </c>
      <c r="L88" s="601">
        <f t="shared" si="53"/>
        <v>448.05</v>
      </c>
      <c r="M88" s="691">
        <f t="shared" si="49"/>
        <v>143.6</v>
      </c>
      <c r="N88" s="650">
        <f t="shared" si="54"/>
        <v>0</v>
      </c>
      <c r="O88" s="601">
        <f t="shared" si="55"/>
        <v>143.6</v>
      </c>
      <c r="P88" s="599">
        <f t="shared" si="56"/>
        <v>591.65</v>
      </c>
      <c r="Q88" s="69"/>
      <c r="R88" s="69"/>
      <c r="S88" s="69"/>
      <c r="T88" s="903"/>
      <c r="U88" s="208">
        <f>9*27</f>
        <v>243</v>
      </c>
      <c r="V88" s="69"/>
      <c r="W88" s="69"/>
      <c r="Y88" s="189"/>
      <c r="Z88" s="69"/>
    </row>
    <row r="89" spans="1:26">
      <c r="A89" s="156" t="str">
        <f t="shared" ref="A89:A111" si="57">IF(ISNUMBER(E89),ROW(),"")</f>
        <v/>
      </c>
      <c r="C89" s="823"/>
      <c r="D89" s="170"/>
      <c r="E89" s="563"/>
      <c r="F89" s="692"/>
      <c r="G89" s="692"/>
      <c r="H89" s="692"/>
      <c r="I89" s="605"/>
      <c r="J89" s="606"/>
      <c r="K89" s="605"/>
      <c r="L89" s="607"/>
      <c r="M89" s="608"/>
      <c r="N89" s="608"/>
      <c r="O89" s="607"/>
      <c r="P89" s="609"/>
      <c r="U89" s="207"/>
      <c r="Y89" s="189"/>
      <c r="Z89" s="69"/>
    </row>
    <row r="90" spans="1:26">
      <c r="A90" s="156" t="str">
        <f t="shared" si="57"/>
        <v/>
      </c>
      <c r="B90" s="263"/>
      <c r="C90" s="828"/>
      <c r="D90" s="829"/>
      <c r="E90" s="564"/>
      <c r="F90" s="174"/>
      <c r="G90" s="174"/>
      <c r="H90" s="174"/>
      <c r="I90" s="174"/>
      <c r="J90" s="174"/>
      <c r="K90" s="174"/>
      <c r="L90" s="174"/>
      <c r="M90" s="174"/>
      <c r="N90" s="174"/>
      <c r="O90" s="174"/>
      <c r="P90" s="174"/>
      <c r="Q90" s="65"/>
      <c r="R90" s="183"/>
      <c r="S90" s="310"/>
      <c r="T90" s="904"/>
      <c r="U90" s="203"/>
      <c r="V90" s="183"/>
      <c r="W90" s="183"/>
      <c r="Y90" s="189"/>
      <c r="Z90" s="69"/>
    </row>
    <row r="91" spans="1:26" ht="13.5" thickBot="1">
      <c r="A91" s="156" t="str">
        <f t="shared" si="57"/>
        <v/>
      </c>
      <c r="B91" s="266">
        <f>MAX($B$8:B90)+0.01</f>
        <v>6.0399999999999991</v>
      </c>
      <c r="C91" s="723" t="s">
        <v>722</v>
      </c>
      <c r="D91" s="95"/>
      <c r="E91" s="714"/>
      <c r="F91" s="693"/>
      <c r="G91" s="693"/>
      <c r="H91" s="694"/>
      <c r="I91" s="694"/>
      <c r="J91" s="694"/>
      <c r="K91" s="694"/>
      <c r="L91" s="694"/>
      <c r="M91" s="695"/>
      <c r="N91" s="695"/>
      <c r="O91" s="695"/>
      <c r="P91" s="696" t="s">
        <v>471</v>
      </c>
      <c r="Q91" s="154"/>
      <c r="R91" s="183"/>
      <c r="S91" s="310"/>
      <c r="T91" s="904"/>
      <c r="U91" s="204"/>
      <c r="V91" s="183"/>
      <c r="W91" s="183"/>
      <c r="Y91" s="189"/>
      <c r="Z91" s="69"/>
    </row>
    <row r="92" spans="1:26">
      <c r="A92" s="156" t="str">
        <f t="shared" si="57"/>
        <v/>
      </c>
      <c r="C92" s="821"/>
      <c r="D92" s="167"/>
      <c r="E92" s="560"/>
      <c r="F92" s="629"/>
      <c r="G92" s="629"/>
      <c r="H92" s="629"/>
      <c r="I92" s="594"/>
      <c r="J92" s="595"/>
      <c r="K92" s="594"/>
      <c r="L92" s="596"/>
      <c r="M92" s="598"/>
      <c r="N92" s="598"/>
      <c r="O92" s="596"/>
      <c r="P92" s="599"/>
      <c r="U92" s="205"/>
      <c r="Y92" s="189"/>
      <c r="Z92" s="69"/>
    </row>
    <row r="93" spans="1:26">
      <c r="A93" s="254"/>
      <c r="C93" s="821" t="s">
        <v>460</v>
      </c>
      <c r="D93" s="167"/>
      <c r="E93" s="560"/>
      <c r="F93" s="629"/>
      <c r="G93" s="629"/>
      <c r="H93" s="629"/>
      <c r="I93" s="594"/>
      <c r="J93" s="595"/>
      <c r="K93" s="594"/>
      <c r="L93" s="596"/>
      <c r="M93" s="598"/>
      <c r="N93" s="598"/>
      <c r="O93" s="596"/>
      <c r="P93" s="599"/>
      <c r="U93" s="205"/>
      <c r="Y93" s="255"/>
      <c r="Z93" s="69"/>
    </row>
    <row r="94" spans="1:26">
      <c r="A94" s="254"/>
      <c r="C94" s="821"/>
      <c r="D94" s="167"/>
      <c r="E94" s="560"/>
      <c r="F94" s="629"/>
      <c r="G94" s="629"/>
      <c r="H94" s="629"/>
      <c r="I94" s="594"/>
      <c r="J94" s="595"/>
      <c r="K94" s="594"/>
      <c r="L94" s="596"/>
      <c r="M94" s="598"/>
      <c r="N94" s="598"/>
      <c r="O94" s="596"/>
      <c r="P94" s="599"/>
      <c r="U94" s="205"/>
      <c r="Y94" s="255"/>
      <c r="Z94" s="69"/>
    </row>
    <row r="95" spans="1:26">
      <c r="A95" s="156" t="str">
        <f t="shared" si="57"/>
        <v/>
      </c>
      <c r="C95" s="821" t="s">
        <v>459</v>
      </c>
      <c r="D95" s="167"/>
      <c r="E95" s="560"/>
      <c r="F95" s="629"/>
      <c r="G95" s="629"/>
      <c r="H95" s="629"/>
      <c r="I95" s="594"/>
      <c r="J95" s="595"/>
      <c r="K95" s="594"/>
      <c r="L95" s="596"/>
      <c r="M95" s="598"/>
      <c r="N95" s="598"/>
      <c r="O95" s="596"/>
      <c r="P95" s="599"/>
      <c r="U95" s="195"/>
      <c r="Y95" s="189"/>
      <c r="Z95" s="69"/>
    </row>
    <row r="96" spans="1:26">
      <c r="A96" s="156" t="str">
        <f t="shared" si="57"/>
        <v/>
      </c>
      <c r="C96" s="821" t="s">
        <v>457</v>
      </c>
      <c r="D96" s="167"/>
      <c r="E96" s="560"/>
      <c r="F96" s="629"/>
      <c r="G96" s="629"/>
      <c r="H96" s="629"/>
      <c r="I96" s="594"/>
      <c r="J96" s="595"/>
      <c r="K96" s="594"/>
      <c r="L96" s="596"/>
      <c r="M96" s="598"/>
      <c r="N96" s="598"/>
      <c r="O96" s="596"/>
      <c r="P96" s="599"/>
      <c r="U96" s="195"/>
      <c r="Y96" s="189"/>
      <c r="Z96" s="69"/>
    </row>
    <row r="97" spans="1:26">
      <c r="A97" s="156" t="str">
        <f t="shared" si="57"/>
        <v/>
      </c>
      <c r="C97" s="821"/>
      <c r="D97" s="167"/>
      <c r="E97" s="560"/>
      <c r="F97" s="629"/>
      <c r="G97" s="629"/>
      <c r="H97" s="629"/>
      <c r="I97" s="594"/>
      <c r="J97" s="595"/>
      <c r="K97" s="594"/>
      <c r="L97" s="596"/>
      <c r="M97" s="598"/>
      <c r="N97" s="598"/>
      <c r="O97" s="596"/>
      <c r="P97" s="599"/>
      <c r="U97" s="195"/>
      <c r="Y97" s="189"/>
      <c r="Z97" s="69"/>
    </row>
    <row r="98" spans="1:26">
      <c r="A98" s="267"/>
      <c r="C98" s="821" t="s">
        <v>485</v>
      </c>
      <c r="D98" s="167"/>
      <c r="E98" s="560"/>
      <c r="F98" s="629"/>
      <c r="G98" s="629"/>
      <c r="H98" s="629"/>
      <c r="I98" s="594"/>
      <c r="J98" s="595"/>
      <c r="K98" s="594"/>
      <c r="L98" s="596"/>
      <c r="M98" s="598"/>
      <c r="N98" s="598"/>
      <c r="O98" s="596"/>
      <c r="P98" s="599"/>
      <c r="U98" s="195"/>
      <c r="Y98" s="268"/>
      <c r="Z98" s="69"/>
    </row>
    <row r="99" spans="1:26">
      <c r="A99" s="267"/>
      <c r="C99" s="821" t="s">
        <v>695</v>
      </c>
      <c r="D99" s="167"/>
      <c r="E99" s="560"/>
      <c r="F99" s="629"/>
      <c r="G99" s="629"/>
      <c r="H99" s="629"/>
      <c r="I99" s="594"/>
      <c r="J99" s="595"/>
      <c r="K99" s="594"/>
      <c r="L99" s="596"/>
      <c r="M99" s="598"/>
      <c r="N99" s="598"/>
      <c r="O99" s="596"/>
      <c r="P99" s="599"/>
      <c r="U99" s="195"/>
      <c r="Y99" s="268"/>
      <c r="Z99" s="69"/>
    </row>
    <row r="100" spans="1:26">
      <c r="A100" s="156" t="str">
        <f t="shared" si="57"/>
        <v/>
      </c>
      <c r="C100" s="821"/>
      <c r="D100" s="167"/>
      <c r="E100" s="560"/>
      <c r="F100" s="629"/>
      <c r="G100" s="629"/>
      <c r="H100" s="629"/>
      <c r="I100" s="594"/>
      <c r="J100" s="595"/>
      <c r="K100" s="594"/>
      <c r="L100" s="596"/>
      <c r="M100" s="598"/>
      <c r="N100" s="598"/>
      <c r="O100" s="596"/>
      <c r="P100" s="599"/>
      <c r="U100" s="195"/>
      <c r="Y100" s="189"/>
      <c r="Z100" s="69"/>
    </row>
    <row r="101" spans="1:26">
      <c r="A101" s="156" t="str">
        <f t="shared" si="57"/>
        <v/>
      </c>
      <c r="C101" s="822" t="s">
        <v>719</v>
      </c>
      <c r="D101" s="167"/>
      <c r="E101" s="560"/>
      <c r="F101" s="629"/>
      <c r="G101" s="629"/>
      <c r="H101" s="629"/>
      <c r="I101" s="594"/>
      <c r="J101" s="595"/>
      <c r="K101" s="594"/>
      <c r="L101" s="596"/>
      <c r="M101" s="598"/>
      <c r="N101" s="598"/>
      <c r="O101" s="596"/>
      <c r="P101" s="599"/>
      <c r="U101" s="195"/>
      <c r="Y101" s="189"/>
      <c r="Z101" s="69"/>
    </row>
    <row r="102" spans="1:26">
      <c r="A102" s="156">
        <f t="shared" si="57"/>
        <v>102</v>
      </c>
      <c r="B102" s="262"/>
      <c r="C102" s="726" t="s">
        <v>696</v>
      </c>
      <c r="D102" s="153"/>
      <c r="E102" s="678">
        <v>23250</v>
      </c>
      <c r="F102" s="629">
        <v>2500</v>
      </c>
      <c r="G102" s="629">
        <v>250</v>
      </c>
      <c r="H102" s="630">
        <v>50</v>
      </c>
      <c r="I102" s="594">
        <f t="shared" ref="I102:I112" si="58">MROUND(E102*(1-$E$677/100)/F102,0.05)</f>
        <v>8.35</v>
      </c>
      <c r="J102" s="595">
        <f t="shared" ref="J102:J112" si="59">MROUND($E102*(1+$E$677/100)/2*$E$682/100/$G102,0.05)</f>
        <v>0.75</v>
      </c>
      <c r="K102" s="600">
        <f t="shared" ref="K102:K112" si="60">MROUND($E102*(1+$E$677/100)/2*$E$678/100/$G102,0.05)</f>
        <v>5.3500000000000005</v>
      </c>
      <c r="L102" s="601">
        <f t="shared" ref="L102:L112" si="61">SUM(I102:K102)</f>
        <v>14.45</v>
      </c>
      <c r="M102" s="691">
        <f t="shared" ref="M102:M112" si="62">MROUND($E102*$H102/100/$F102,0.05)</f>
        <v>4.6500000000000004</v>
      </c>
      <c r="N102" s="650">
        <f t="shared" ref="N102:N112" si="63">MROUND(Y102*Z102,0.05)</f>
        <v>0</v>
      </c>
      <c r="O102" s="601">
        <f t="shared" ref="O102:O112" si="64">SUM(M102:N102)</f>
        <v>4.6500000000000004</v>
      </c>
      <c r="P102" s="599">
        <f t="shared" ref="P102:P112" si="65">O102+L102</f>
        <v>19.100000000000001</v>
      </c>
      <c r="Q102" s="69"/>
      <c r="R102" s="69"/>
      <c r="S102" s="69"/>
      <c r="T102" s="903"/>
      <c r="U102" s="208" t="s">
        <v>277</v>
      </c>
      <c r="V102" s="69"/>
      <c r="W102" s="69"/>
      <c r="Y102" s="189"/>
      <c r="Z102" s="69"/>
    </row>
    <row r="103" spans="1:26">
      <c r="A103" s="156">
        <f t="shared" si="57"/>
        <v>103</v>
      </c>
      <c r="B103" s="262"/>
      <c r="C103" s="726" t="s">
        <v>697</v>
      </c>
      <c r="D103" s="153"/>
      <c r="E103" s="678">
        <v>37000</v>
      </c>
      <c r="F103" s="629">
        <v>2500</v>
      </c>
      <c r="G103" s="629">
        <v>250</v>
      </c>
      <c r="H103" s="630">
        <v>50</v>
      </c>
      <c r="I103" s="594">
        <f t="shared" si="58"/>
        <v>13.3</v>
      </c>
      <c r="J103" s="595">
        <f t="shared" si="59"/>
        <v>1.2000000000000002</v>
      </c>
      <c r="K103" s="600">
        <f t="shared" si="60"/>
        <v>8.5500000000000007</v>
      </c>
      <c r="L103" s="601">
        <f t="shared" si="61"/>
        <v>23.05</v>
      </c>
      <c r="M103" s="691">
        <f t="shared" si="62"/>
        <v>7.4</v>
      </c>
      <c r="N103" s="650">
        <f t="shared" si="63"/>
        <v>0</v>
      </c>
      <c r="O103" s="601">
        <f t="shared" si="64"/>
        <v>7.4</v>
      </c>
      <c r="P103" s="599">
        <f t="shared" si="65"/>
        <v>30.450000000000003</v>
      </c>
      <c r="Q103" s="69"/>
      <c r="R103" s="69"/>
      <c r="S103" s="69"/>
      <c r="T103" s="903"/>
      <c r="U103" s="208" t="s">
        <v>278</v>
      </c>
      <c r="V103" s="69"/>
      <c r="W103" s="69"/>
      <c r="Y103" s="189"/>
      <c r="Z103" s="69"/>
    </row>
    <row r="104" spans="1:26">
      <c r="A104" s="156">
        <f t="shared" si="57"/>
        <v>104</v>
      </c>
      <c r="B104" s="262"/>
      <c r="C104" s="726" t="s">
        <v>698</v>
      </c>
      <c r="D104" s="153"/>
      <c r="E104" s="678">
        <v>84750</v>
      </c>
      <c r="F104" s="629">
        <v>2500</v>
      </c>
      <c r="G104" s="629">
        <v>250</v>
      </c>
      <c r="H104" s="630">
        <v>50</v>
      </c>
      <c r="I104" s="594">
        <f t="shared" si="58"/>
        <v>30.5</v>
      </c>
      <c r="J104" s="595">
        <f t="shared" si="59"/>
        <v>2.8000000000000003</v>
      </c>
      <c r="K104" s="600">
        <f t="shared" si="60"/>
        <v>19.600000000000001</v>
      </c>
      <c r="L104" s="601">
        <f t="shared" si="61"/>
        <v>52.9</v>
      </c>
      <c r="M104" s="691">
        <f t="shared" si="62"/>
        <v>16.95</v>
      </c>
      <c r="N104" s="650">
        <f t="shared" si="63"/>
        <v>0</v>
      </c>
      <c r="O104" s="601">
        <f t="shared" si="64"/>
        <v>16.95</v>
      </c>
      <c r="P104" s="599">
        <f t="shared" si="65"/>
        <v>69.849999999999994</v>
      </c>
      <c r="Q104" s="69"/>
      <c r="R104" s="69"/>
      <c r="S104" s="69"/>
      <c r="T104" s="903"/>
      <c r="U104" s="208" t="s">
        <v>279</v>
      </c>
      <c r="V104" s="69"/>
      <c r="W104" s="69"/>
      <c r="Y104" s="189"/>
      <c r="Z104" s="69"/>
    </row>
    <row r="105" spans="1:26">
      <c r="A105" s="156">
        <f t="shared" si="57"/>
        <v>105</v>
      </c>
      <c r="B105" s="262"/>
      <c r="C105" s="726" t="s">
        <v>699</v>
      </c>
      <c r="D105" s="153"/>
      <c r="E105" s="678">
        <v>112500</v>
      </c>
      <c r="F105" s="629">
        <v>2500</v>
      </c>
      <c r="G105" s="629">
        <v>250</v>
      </c>
      <c r="H105" s="630">
        <v>50</v>
      </c>
      <c r="I105" s="594">
        <f t="shared" si="58"/>
        <v>40.5</v>
      </c>
      <c r="J105" s="595">
        <f t="shared" si="59"/>
        <v>3.7</v>
      </c>
      <c r="K105" s="600">
        <f t="shared" si="60"/>
        <v>26</v>
      </c>
      <c r="L105" s="601">
        <f t="shared" si="61"/>
        <v>70.2</v>
      </c>
      <c r="M105" s="691">
        <f t="shared" si="62"/>
        <v>22.5</v>
      </c>
      <c r="N105" s="650">
        <f t="shared" si="63"/>
        <v>0</v>
      </c>
      <c r="O105" s="601">
        <f t="shared" si="64"/>
        <v>22.5</v>
      </c>
      <c r="P105" s="599">
        <f t="shared" si="65"/>
        <v>92.7</v>
      </c>
      <c r="Q105" s="69"/>
      <c r="R105" s="69"/>
      <c r="S105" s="69"/>
      <c r="T105" s="903"/>
      <c r="U105" s="208" t="s">
        <v>267</v>
      </c>
      <c r="V105" s="69"/>
      <c r="W105" s="69"/>
      <c r="Y105" s="189"/>
      <c r="Z105" s="69"/>
    </row>
    <row r="106" spans="1:26">
      <c r="A106" s="156">
        <f t="shared" si="57"/>
        <v>106</v>
      </c>
      <c r="B106" s="262"/>
      <c r="C106" s="726" t="s">
        <v>700</v>
      </c>
      <c r="D106" s="153"/>
      <c r="E106" s="678">
        <v>149000</v>
      </c>
      <c r="F106" s="629">
        <v>2500</v>
      </c>
      <c r="G106" s="629">
        <v>250</v>
      </c>
      <c r="H106" s="630">
        <v>50</v>
      </c>
      <c r="I106" s="594">
        <f t="shared" si="58"/>
        <v>53.650000000000006</v>
      </c>
      <c r="J106" s="595">
        <f t="shared" si="59"/>
        <v>4.9000000000000004</v>
      </c>
      <c r="K106" s="600">
        <f t="shared" si="60"/>
        <v>34.4</v>
      </c>
      <c r="L106" s="601">
        <f t="shared" si="61"/>
        <v>92.95</v>
      </c>
      <c r="M106" s="691">
        <f t="shared" si="62"/>
        <v>29.8</v>
      </c>
      <c r="N106" s="650">
        <f t="shared" si="63"/>
        <v>0</v>
      </c>
      <c r="O106" s="601">
        <f t="shared" si="64"/>
        <v>29.8</v>
      </c>
      <c r="P106" s="599">
        <f t="shared" si="65"/>
        <v>122.75</v>
      </c>
      <c r="Q106" s="69"/>
      <c r="R106" s="69"/>
      <c r="S106" s="69"/>
      <c r="T106" s="903"/>
      <c r="U106" s="208" t="s">
        <v>268</v>
      </c>
      <c r="V106" s="69"/>
      <c r="W106" s="69"/>
      <c r="Y106" s="189"/>
      <c r="Z106" s="69"/>
    </row>
    <row r="107" spans="1:26">
      <c r="A107" s="156">
        <f t="shared" si="57"/>
        <v>107</v>
      </c>
      <c r="B107" s="262"/>
      <c r="C107" s="726" t="s">
        <v>701</v>
      </c>
      <c r="D107" s="153"/>
      <c r="E107" s="678">
        <v>192250</v>
      </c>
      <c r="F107" s="629">
        <v>2500</v>
      </c>
      <c r="G107" s="629">
        <v>250</v>
      </c>
      <c r="H107" s="630">
        <v>50</v>
      </c>
      <c r="I107" s="594">
        <f t="shared" si="58"/>
        <v>69.2</v>
      </c>
      <c r="J107" s="595">
        <f t="shared" si="59"/>
        <v>6.3500000000000005</v>
      </c>
      <c r="K107" s="600">
        <f t="shared" si="60"/>
        <v>44.400000000000006</v>
      </c>
      <c r="L107" s="601">
        <f t="shared" si="61"/>
        <v>119.95</v>
      </c>
      <c r="M107" s="691">
        <f t="shared" si="62"/>
        <v>38.450000000000003</v>
      </c>
      <c r="N107" s="650">
        <f t="shared" si="63"/>
        <v>0</v>
      </c>
      <c r="O107" s="601">
        <f t="shared" si="64"/>
        <v>38.450000000000003</v>
      </c>
      <c r="P107" s="599">
        <f t="shared" si="65"/>
        <v>158.4</v>
      </c>
      <c r="Q107" s="69"/>
      <c r="R107" s="69"/>
      <c r="S107" s="69"/>
      <c r="T107" s="903"/>
      <c r="U107" s="208" t="s">
        <v>269</v>
      </c>
      <c r="V107" s="69"/>
      <c r="W107" s="69"/>
      <c r="Y107" s="189"/>
      <c r="Z107" s="69"/>
    </row>
    <row r="108" spans="1:26">
      <c r="A108" s="156">
        <f t="shared" si="57"/>
        <v>108</v>
      </c>
      <c r="B108" s="262"/>
      <c r="C108" s="726" t="s">
        <v>702</v>
      </c>
      <c r="D108" s="153"/>
      <c r="E108" s="678">
        <v>234000</v>
      </c>
      <c r="F108" s="629">
        <v>2500</v>
      </c>
      <c r="G108" s="629">
        <v>250</v>
      </c>
      <c r="H108" s="630">
        <v>50</v>
      </c>
      <c r="I108" s="594">
        <f t="shared" si="58"/>
        <v>84.25</v>
      </c>
      <c r="J108" s="595">
        <f t="shared" si="59"/>
        <v>7.7</v>
      </c>
      <c r="K108" s="600">
        <f t="shared" si="60"/>
        <v>54.050000000000004</v>
      </c>
      <c r="L108" s="601">
        <f t="shared" si="61"/>
        <v>146</v>
      </c>
      <c r="M108" s="691">
        <f t="shared" si="62"/>
        <v>46.800000000000004</v>
      </c>
      <c r="N108" s="650">
        <f t="shared" si="63"/>
        <v>0</v>
      </c>
      <c r="O108" s="601">
        <f t="shared" si="64"/>
        <v>46.800000000000004</v>
      </c>
      <c r="P108" s="599">
        <f t="shared" si="65"/>
        <v>192.8</v>
      </c>
      <c r="Q108" s="69"/>
      <c r="R108" s="69"/>
      <c r="S108" s="69"/>
      <c r="T108" s="903"/>
      <c r="U108" s="208" t="s">
        <v>270</v>
      </c>
      <c r="V108" s="69"/>
      <c r="W108" s="69"/>
      <c r="Y108" s="189"/>
      <c r="Z108" s="69"/>
    </row>
    <row r="109" spans="1:26">
      <c r="A109" s="156">
        <f t="shared" si="57"/>
        <v>109</v>
      </c>
      <c r="B109" s="262"/>
      <c r="C109" s="726" t="s">
        <v>703</v>
      </c>
      <c r="D109" s="153"/>
      <c r="E109" s="678">
        <v>261750</v>
      </c>
      <c r="F109" s="629">
        <v>2500</v>
      </c>
      <c r="G109" s="629">
        <v>250</v>
      </c>
      <c r="H109" s="630">
        <v>50</v>
      </c>
      <c r="I109" s="594">
        <f t="shared" si="58"/>
        <v>94.25</v>
      </c>
      <c r="J109" s="595">
        <f t="shared" si="59"/>
        <v>8.65</v>
      </c>
      <c r="K109" s="600">
        <f t="shared" si="60"/>
        <v>60.45</v>
      </c>
      <c r="L109" s="601">
        <f t="shared" si="61"/>
        <v>163.35000000000002</v>
      </c>
      <c r="M109" s="691">
        <f t="shared" si="62"/>
        <v>52.35</v>
      </c>
      <c r="N109" s="650">
        <f t="shared" si="63"/>
        <v>0</v>
      </c>
      <c r="O109" s="601">
        <f t="shared" si="64"/>
        <v>52.35</v>
      </c>
      <c r="P109" s="599">
        <f t="shared" si="65"/>
        <v>215.70000000000002</v>
      </c>
      <c r="Q109" s="69"/>
      <c r="R109" s="69"/>
      <c r="S109" s="69"/>
      <c r="T109" s="903"/>
      <c r="U109" s="208" t="s">
        <v>271</v>
      </c>
      <c r="V109" s="69"/>
      <c r="W109" s="69"/>
      <c r="Y109" s="189"/>
      <c r="Z109" s="69"/>
    </row>
    <row r="110" spans="1:26">
      <c r="A110" s="156">
        <f t="shared" si="57"/>
        <v>110</v>
      </c>
      <c r="B110" s="262"/>
      <c r="C110" s="726" t="s">
        <v>704</v>
      </c>
      <c r="D110" s="153"/>
      <c r="E110" s="678">
        <v>439250</v>
      </c>
      <c r="F110" s="629">
        <v>2500</v>
      </c>
      <c r="G110" s="629">
        <v>250</v>
      </c>
      <c r="H110" s="630">
        <v>50</v>
      </c>
      <c r="I110" s="594">
        <f t="shared" si="58"/>
        <v>158.15</v>
      </c>
      <c r="J110" s="595">
        <f t="shared" si="59"/>
        <v>14.5</v>
      </c>
      <c r="K110" s="600">
        <f t="shared" si="60"/>
        <v>101.45</v>
      </c>
      <c r="L110" s="601">
        <f t="shared" si="61"/>
        <v>274.10000000000002</v>
      </c>
      <c r="M110" s="691">
        <f t="shared" si="62"/>
        <v>87.850000000000009</v>
      </c>
      <c r="N110" s="650">
        <f t="shared" si="63"/>
        <v>0</v>
      </c>
      <c r="O110" s="601">
        <f t="shared" si="64"/>
        <v>87.850000000000009</v>
      </c>
      <c r="P110" s="599">
        <f t="shared" si="65"/>
        <v>361.95000000000005</v>
      </c>
      <c r="Q110" s="69"/>
      <c r="R110" s="69"/>
      <c r="S110" s="69"/>
      <c r="T110" s="903"/>
      <c r="U110" s="208" t="s">
        <v>272</v>
      </c>
      <c r="V110" s="69"/>
      <c r="W110" s="69"/>
      <c r="Y110" s="189"/>
      <c r="Z110" s="69"/>
    </row>
    <row r="111" spans="1:26">
      <c r="A111" s="156">
        <f t="shared" si="57"/>
        <v>111</v>
      </c>
      <c r="B111" s="262"/>
      <c r="C111" s="726" t="s">
        <v>705</v>
      </c>
      <c r="D111" s="153"/>
      <c r="E111" s="678">
        <v>467000</v>
      </c>
      <c r="F111" s="629">
        <v>2500</v>
      </c>
      <c r="G111" s="629">
        <v>250</v>
      </c>
      <c r="H111" s="630">
        <v>50</v>
      </c>
      <c r="I111" s="594">
        <f t="shared" si="58"/>
        <v>168.10000000000002</v>
      </c>
      <c r="J111" s="595">
        <f t="shared" si="59"/>
        <v>15.4</v>
      </c>
      <c r="K111" s="600">
        <f t="shared" si="60"/>
        <v>107.9</v>
      </c>
      <c r="L111" s="601">
        <f t="shared" si="61"/>
        <v>291.40000000000003</v>
      </c>
      <c r="M111" s="691">
        <f t="shared" si="62"/>
        <v>93.4</v>
      </c>
      <c r="N111" s="650">
        <f t="shared" si="63"/>
        <v>0</v>
      </c>
      <c r="O111" s="601">
        <f t="shared" si="64"/>
        <v>93.4</v>
      </c>
      <c r="P111" s="599">
        <f t="shared" si="65"/>
        <v>384.80000000000007</v>
      </c>
      <c r="Q111" s="69"/>
      <c r="R111" s="69"/>
      <c r="S111" s="69"/>
      <c r="T111" s="903"/>
      <c r="U111" s="208" t="s">
        <v>273</v>
      </c>
      <c r="V111" s="69"/>
      <c r="W111" s="69"/>
      <c r="Y111" s="189"/>
      <c r="Z111" s="69"/>
    </row>
    <row r="112" spans="1:26">
      <c r="A112" s="156">
        <f t="shared" ref="A112:A146" si="66">IF(ISNUMBER(E112),ROW(),"")</f>
        <v>112</v>
      </c>
      <c r="B112" s="262"/>
      <c r="C112" s="726" t="s">
        <v>706</v>
      </c>
      <c r="D112" s="153"/>
      <c r="E112" s="678">
        <v>494750</v>
      </c>
      <c r="F112" s="629">
        <v>2500</v>
      </c>
      <c r="G112" s="629">
        <v>250</v>
      </c>
      <c r="H112" s="630">
        <v>50</v>
      </c>
      <c r="I112" s="594">
        <f t="shared" si="58"/>
        <v>178.10000000000002</v>
      </c>
      <c r="J112" s="595">
        <f t="shared" si="59"/>
        <v>16.350000000000001</v>
      </c>
      <c r="K112" s="600">
        <f t="shared" si="60"/>
        <v>114.30000000000001</v>
      </c>
      <c r="L112" s="601">
        <f t="shared" si="61"/>
        <v>308.75</v>
      </c>
      <c r="M112" s="691">
        <f t="shared" si="62"/>
        <v>98.95</v>
      </c>
      <c r="N112" s="650">
        <f t="shared" si="63"/>
        <v>0</v>
      </c>
      <c r="O112" s="601">
        <f t="shared" si="64"/>
        <v>98.95</v>
      </c>
      <c r="P112" s="599">
        <f t="shared" si="65"/>
        <v>407.7</v>
      </c>
      <c r="Q112" s="69"/>
      <c r="R112" s="69"/>
      <c r="S112" s="69"/>
      <c r="T112" s="903"/>
      <c r="U112" s="208" t="s">
        <v>274</v>
      </c>
      <c r="V112" s="69"/>
      <c r="W112" s="69"/>
      <c r="Y112" s="189"/>
      <c r="Z112" s="69"/>
    </row>
    <row r="113" spans="1:26">
      <c r="A113" s="156" t="str">
        <f t="shared" si="66"/>
        <v/>
      </c>
      <c r="C113" s="821"/>
      <c r="D113" s="167"/>
      <c r="E113" s="790"/>
      <c r="F113" s="629"/>
      <c r="G113" s="629"/>
      <c r="H113" s="629"/>
      <c r="I113" s="594"/>
      <c r="J113" s="595"/>
      <c r="K113" s="594"/>
      <c r="L113" s="596"/>
      <c r="M113" s="598"/>
      <c r="N113" s="598"/>
      <c r="O113" s="596"/>
      <c r="P113" s="599"/>
      <c r="U113" s="195"/>
      <c r="Y113" s="189"/>
      <c r="Z113" s="69"/>
    </row>
    <row r="114" spans="1:26">
      <c r="A114" s="156" t="str">
        <f t="shared" si="66"/>
        <v/>
      </c>
      <c r="C114" s="822" t="s">
        <v>720</v>
      </c>
      <c r="D114" s="167"/>
      <c r="E114" s="790"/>
      <c r="F114" s="629"/>
      <c r="G114" s="629"/>
      <c r="H114" s="629"/>
      <c r="I114" s="594"/>
      <c r="J114" s="595"/>
      <c r="K114" s="594"/>
      <c r="L114" s="596"/>
      <c r="M114" s="598"/>
      <c r="N114" s="598"/>
      <c r="O114" s="596"/>
      <c r="P114" s="599"/>
      <c r="U114" s="195"/>
      <c r="Y114" s="189"/>
      <c r="Z114" s="69"/>
    </row>
    <row r="115" spans="1:26">
      <c r="A115" s="156">
        <f t="shared" si="66"/>
        <v>115</v>
      </c>
      <c r="B115" s="262"/>
      <c r="C115" s="726" t="s">
        <v>707</v>
      </c>
      <c r="D115" s="153"/>
      <c r="E115" s="678">
        <v>177250</v>
      </c>
      <c r="F115" s="629">
        <v>2500</v>
      </c>
      <c r="G115" s="629">
        <v>250</v>
      </c>
      <c r="H115" s="630">
        <v>50</v>
      </c>
      <c r="I115" s="594">
        <f t="shared" ref="I115:I124" si="67">MROUND(E115*(1-$E$677/100)/F115,0.05)</f>
        <v>63.800000000000004</v>
      </c>
      <c r="J115" s="595">
        <f t="shared" ref="J115:J124" si="68">MROUND($E115*(1+$E$677/100)/2*$E$682/100/$G115,0.05)</f>
        <v>5.8500000000000005</v>
      </c>
      <c r="K115" s="600">
        <f t="shared" ref="K115:K124" si="69">MROUND($E115*(1+$E$677/100)/2*$E$678/100/$G115,0.05)</f>
        <v>40.950000000000003</v>
      </c>
      <c r="L115" s="601">
        <f t="shared" ref="L115:L124" si="70">SUM(I115:K115)</f>
        <v>110.60000000000001</v>
      </c>
      <c r="M115" s="691">
        <f t="shared" ref="M115:M124" si="71">MROUND($E115*$H115/100/$F115,0.05)</f>
        <v>35.450000000000003</v>
      </c>
      <c r="N115" s="650">
        <f t="shared" ref="N115:N124" si="72">MROUND(Y115*Z115,0.05)</f>
        <v>0</v>
      </c>
      <c r="O115" s="601">
        <f t="shared" ref="O115:O124" si="73">SUM(M115:N115)</f>
        <v>35.450000000000003</v>
      </c>
      <c r="P115" s="599">
        <f t="shared" ref="P115:P124" si="74">O115+L115</f>
        <v>146.05000000000001</v>
      </c>
      <c r="Q115" s="69"/>
      <c r="R115" s="69"/>
      <c r="S115" s="69"/>
      <c r="T115" s="903"/>
      <c r="U115" s="208" t="s">
        <v>267</v>
      </c>
      <c r="V115" s="69"/>
      <c r="W115" s="69"/>
      <c r="Y115" s="189"/>
      <c r="Z115" s="69"/>
    </row>
    <row r="116" spans="1:26">
      <c r="A116" s="156">
        <f t="shared" si="66"/>
        <v>116</v>
      </c>
      <c r="B116" s="262"/>
      <c r="C116" s="726" t="s">
        <v>708</v>
      </c>
      <c r="D116" s="153"/>
      <c r="E116" s="678">
        <v>187500</v>
      </c>
      <c r="F116" s="629">
        <v>2500</v>
      </c>
      <c r="G116" s="629">
        <v>250</v>
      </c>
      <c r="H116" s="630">
        <v>50</v>
      </c>
      <c r="I116" s="594">
        <f t="shared" si="67"/>
        <v>67.5</v>
      </c>
      <c r="J116" s="595">
        <f t="shared" si="68"/>
        <v>6.2</v>
      </c>
      <c r="K116" s="600">
        <f t="shared" si="69"/>
        <v>43.300000000000004</v>
      </c>
      <c r="L116" s="601">
        <f t="shared" si="70"/>
        <v>117</v>
      </c>
      <c r="M116" s="691">
        <f t="shared" si="71"/>
        <v>37.5</v>
      </c>
      <c r="N116" s="650">
        <f t="shared" si="72"/>
        <v>0</v>
      </c>
      <c r="O116" s="601">
        <f t="shared" si="73"/>
        <v>37.5</v>
      </c>
      <c r="P116" s="599">
        <f t="shared" si="74"/>
        <v>154.5</v>
      </c>
      <c r="Q116" s="69"/>
      <c r="R116" s="69"/>
      <c r="S116" s="69"/>
      <c r="T116" s="903"/>
      <c r="U116" s="208" t="s">
        <v>268</v>
      </c>
      <c r="V116" s="69"/>
      <c r="W116" s="69"/>
      <c r="Y116" s="189"/>
      <c r="Z116" s="69"/>
    </row>
    <row r="117" spans="1:26">
      <c r="A117" s="156">
        <f t="shared" si="66"/>
        <v>117</v>
      </c>
      <c r="B117" s="262"/>
      <c r="C117" s="726" t="s">
        <v>709</v>
      </c>
      <c r="D117" s="153"/>
      <c r="E117" s="678">
        <v>230000</v>
      </c>
      <c r="F117" s="629">
        <v>2500</v>
      </c>
      <c r="G117" s="629">
        <v>250</v>
      </c>
      <c r="H117" s="630">
        <v>50</v>
      </c>
      <c r="I117" s="594">
        <f t="shared" si="67"/>
        <v>82.800000000000011</v>
      </c>
      <c r="J117" s="595">
        <f t="shared" si="68"/>
        <v>7.6000000000000005</v>
      </c>
      <c r="K117" s="600">
        <f t="shared" si="69"/>
        <v>53.150000000000006</v>
      </c>
      <c r="L117" s="601">
        <f t="shared" si="70"/>
        <v>143.55000000000001</v>
      </c>
      <c r="M117" s="691">
        <f t="shared" si="71"/>
        <v>46</v>
      </c>
      <c r="N117" s="650">
        <f t="shared" si="72"/>
        <v>0</v>
      </c>
      <c r="O117" s="601">
        <f t="shared" si="73"/>
        <v>46</v>
      </c>
      <c r="P117" s="599">
        <f t="shared" si="74"/>
        <v>189.55</v>
      </c>
      <c r="Q117" s="69"/>
      <c r="R117" s="69"/>
      <c r="S117" s="69"/>
      <c r="T117" s="903"/>
      <c r="U117" s="208" t="s">
        <v>269</v>
      </c>
      <c r="V117" s="69"/>
      <c r="W117" s="69"/>
      <c r="Y117" s="189"/>
      <c r="Z117" s="69"/>
    </row>
    <row r="118" spans="1:26">
      <c r="A118" s="156">
        <f t="shared" si="66"/>
        <v>118</v>
      </c>
      <c r="B118" s="262"/>
      <c r="C118" s="726" t="s">
        <v>710</v>
      </c>
      <c r="D118" s="153"/>
      <c r="E118" s="678">
        <v>292750</v>
      </c>
      <c r="F118" s="629">
        <v>2500</v>
      </c>
      <c r="G118" s="629">
        <v>250</v>
      </c>
      <c r="H118" s="630">
        <v>50</v>
      </c>
      <c r="I118" s="594">
        <f t="shared" si="67"/>
        <v>105.4</v>
      </c>
      <c r="J118" s="595">
        <f t="shared" si="68"/>
        <v>9.65</v>
      </c>
      <c r="K118" s="600">
        <f t="shared" si="69"/>
        <v>67.650000000000006</v>
      </c>
      <c r="L118" s="601">
        <f t="shared" si="70"/>
        <v>182.70000000000002</v>
      </c>
      <c r="M118" s="691">
        <f t="shared" si="71"/>
        <v>58.550000000000004</v>
      </c>
      <c r="N118" s="650">
        <f t="shared" si="72"/>
        <v>0</v>
      </c>
      <c r="O118" s="601">
        <f t="shared" si="73"/>
        <v>58.550000000000004</v>
      </c>
      <c r="P118" s="599">
        <f t="shared" si="74"/>
        <v>241.25000000000003</v>
      </c>
      <c r="Q118" s="69"/>
      <c r="R118" s="69"/>
      <c r="S118" s="69"/>
      <c r="T118" s="903"/>
      <c r="U118" s="208" t="s">
        <v>270</v>
      </c>
      <c r="V118" s="69"/>
      <c r="W118" s="69"/>
      <c r="Y118" s="189"/>
      <c r="Z118" s="69"/>
    </row>
    <row r="119" spans="1:26">
      <c r="A119" s="156">
        <f t="shared" si="66"/>
        <v>119</v>
      </c>
      <c r="B119" s="262"/>
      <c r="C119" s="726" t="s">
        <v>711</v>
      </c>
      <c r="D119" s="153"/>
      <c r="E119" s="678">
        <v>318500</v>
      </c>
      <c r="F119" s="629">
        <v>2500</v>
      </c>
      <c r="G119" s="629">
        <v>250</v>
      </c>
      <c r="H119" s="630">
        <v>50</v>
      </c>
      <c r="I119" s="594">
        <f t="shared" si="67"/>
        <v>114.65</v>
      </c>
      <c r="J119" s="595">
        <f t="shared" si="68"/>
        <v>10.5</v>
      </c>
      <c r="K119" s="600">
        <f t="shared" si="69"/>
        <v>73.55</v>
      </c>
      <c r="L119" s="601">
        <f t="shared" si="70"/>
        <v>198.7</v>
      </c>
      <c r="M119" s="691">
        <f t="shared" si="71"/>
        <v>63.7</v>
      </c>
      <c r="N119" s="650">
        <f t="shared" si="72"/>
        <v>0</v>
      </c>
      <c r="O119" s="601">
        <f t="shared" si="73"/>
        <v>63.7</v>
      </c>
      <c r="P119" s="599">
        <f t="shared" si="74"/>
        <v>262.39999999999998</v>
      </c>
      <c r="Q119" s="69"/>
      <c r="R119" s="69"/>
      <c r="S119" s="69"/>
      <c r="T119" s="903"/>
      <c r="U119" s="208" t="s">
        <v>271</v>
      </c>
      <c r="V119" s="69"/>
      <c r="W119" s="69"/>
      <c r="Y119" s="189"/>
      <c r="Z119" s="69"/>
    </row>
    <row r="120" spans="1:26">
      <c r="A120" s="156">
        <f t="shared" si="66"/>
        <v>120</v>
      </c>
      <c r="B120" s="262"/>
      <c r="C120" s="726" t="s">
        <v>712</v>
      </c>
      <c r="D120" s="153"/>
      <c r="E120" s="678">
        <v>591750</v>
      </c>
      <c r="F120" s="629">
        <v>2500</v>
      </c>
      <c r="G120" s="629">
        <v>250</v>
      </c>
      <c r="H120" s="630">
        <v>50</v>
      </c>
      <c r="I120" s="594">
        <f t="shared" si="67"/>
        <v>213.05</v>
      </c>
      <c r="J120" s="595">
        <f t="shared" si="68"/>
        <v>19.55</v>
      </c>
      <c r="K120" s="600">
        <f t="shared" si="69"/>
        <v>136.70000000000002</v>
      </c>
      <c r="L120" s="601">
        <f t="shared" si="70"/>
        <v>369.30000000000007</v>
      </c>
      <c r="M120" s="691">
        <f t="shared" si="71"/>
        <v>118.35000000000001</v>
      </c>
      <c r="N120" s="650">
        <f t="shared" si="72"/>
        <v>0</v>
      </c>
      <c r="O120" s="601">
        <f t="shared" si="73"/>
        <v>118.35000000000001</v>
      </c>
      <c r="P120" s="599">
        <f t="shared" si="74"/>
        <v>487.65000000000009</v>
      </c>
      <c r="Q120" s="69"/>
      <c r="R120" s="69"/>
      <c r="S120" s="69"/>
      <c r="T120" s="903"/>
      <c r="U120" s="208" t="s">
        <v>272</v>
      </c>
      <c r="V120" s="69"/>
      <c r="W120" s="69"/>
      <c r="Y120" s="189"/>
      <c r="Z120" s="69"/>
    </row>
    <row r="121" spans="1:26">
      <c r="A121" s="156">
        <f t="shared" si="66"/>
        <v>121</v>
      </c>
      <c r="B121" s="262"/>
      <c r="C121" s="726" t="s">
        <v>713</v>
      </c>
      <c r="D121" s="153"/>
      <c r="E121" s="678">
        <v>617500</v>
      </c>
      <c r="F121" s="629">
        <v>2500</v>
      </c>
      <c r="G121" s="629">
        <v>250</v>
      </c>
      <c r="H121" s="630">
        <v>50</v>
      </c>
      <c r="I121" s="594">
        <f t="shared" si="67"/>
        <v>222.3</v>
      </c>
      <c r="J121" s="595">
        <f t="shared" si="68"/>
        <v>20.400000000000002</v>
      </c>
      <c r="K121" s="600">
        <f t="shared" si="69"/>
        <v>142.65</v>
      </c>
      <c r="L121" s="601">
        <f t="shared" si="70"/>
        <v>385.35</v>
      </c>
      <c r="M121" s="691">
        <f t="shared" si="71"/>
        <v>123.5</v>
      </c>
      <c r="N121" s="650">
        <f t="shared" si="72"/>
        <v>0</v>
      </c>
      <c r="O121" s="601">
        <f t="shared" si="73"/>
        <v>123.5</v>
      </c>
      <c r="P121" s="599">
        <f t="shared" si="74"/>
        <v>508.85</v>
      </c>
      <c r="Q121" s="69"/>
      <c r="R121" s="69"/>
      <c r="S121" s="69"/>
      <c r="T121" s="903"/>
      <c r="U121" s="208" t="s">
        <v>273</v>
      </c>
      <c r="V121" s="69"/>
      <c r="W121" s="69"/>
      <c r="Y121" s="189"/>
      <c r="Z121" s="69"/>
    </row>
    <row r="122" spans="1:26">
      <c r="A122" s="156">
        <f t="shared" si="66"/>
        <v>122</v>
      </c>
      <c r="B122" s="262"/>
      <c r="C122" s="726" t="s">
        <v>714</v>
      </c>
      <c r="D122" s="153"/>
      <c r="E122" s="678">
        <v>643500</v>
      </c>
      <c r="F122" s="629">
        <v>2500</v>
      </c>
      <c r="G122" s="629">
        <v>250</v>
      </c>
      <c r="H122" s="630">
        <v>50</v>
      </c>
      <c r="I122" s="594">
        <f t="shared" si="67"/>
        <v>231.65</v>
      </c>
      <c r="J122" s="595">
        <f t="shared" si="68"/>
        <v>21.25</v>
      </c>
      <c r="K122" s="600">
        <f t="shared" si="69"/>
        <v>148.65</v>
      </c>
      <c r="L122" s="601">
        <f t="shared" si="70"/>
        <v>401.55</v>
      </c>
      <c r="M122" s="691">
        <f t="shared" si="71"/>
        <v>128.70000000000002</v>
      </c>
      <c r="N122" s="650">
        <f t="shared" si="72"/>
        <v>0</v>
      </c>
      <c r="O122" s="601">
        <f t="shared" si="73"/>
        <v>128.70000000000002</v>
      </c>
      <c r="P122" s="599">
        <f t="shared" si="74"/>
        <v>530.25</v>
      </c>
      <c r="Q122" s="69"/>
      <c r="R122" s="69"/>
      <c r="S122" s="69"/>
      <c r="T122" s="903"/>
      <c r="U122" s="208" t="s">
        <v>274</v>
      </c>
      <c r="V122" s="69"/>
      <c r="W122" s="69"/>
      <c r="Y122" s="189"/>
      <c r="Z122" s="69"/>
    </row>
    <row r="123" spans="1:26">
      <c r="A123" s="156">
        <f t="shared" si="66"/>
        <v>123</v>
      </c>
      <c r="B123" s="262"/>
      <c r="C123" s="726" t="s">
        <v>715</v>
      </c>
      <c r="D123" s="153"/>
      <c r="E123" s="678">
        <v>1032750</v>
      </c>
      <c r="F123" s="629">
        <v>2500</v>
      </c>
      <c r="G123" s="629">
        <v>250</v>
      </c>
      <c r="H123" s="630">
        <v>50</v>
      </c>
      <c r="I123" s="594">
        <f t="shared" si="67"/>
        <v>371.8</v>
      </c>
      <c r="J123" s="595">
        <f t="shared" si="68"/>
        <v>34.1</v>
      </c>
      <c r="K123" s="600">
        <f t="shared" si="69"/>
        <v>238.55</v>
      </c>
      <c r="L123" s="601">
        <f t="shared" si="70"/>
        <v>644.45000000000005</v>
      </c>
      <c r="M123" s="691">
        <f t="shared" si="71"/>
        <v>206.55</v>
      </c>
      <c r="N123" s="650">
        <f t="shared" si="72"/>
        <v>0</v>
      </c>
      <c r="O123" s="601">
        <f t="shared" si="73"/>
        <v>206.55</v>
      </c>
      <c r="P123" s="599">
        <f t="shared" si="74"/>
        <v>851</v>
      </c>
      <c r="Q123" s="69"/>
      <c r="R123" s="69"/>
      <c r="S123" s="69"/>
      <c r="T123" s="903"/>
      <c r="U123" s="208" t="s">
        <v>275</v>
      </c>
      <c r="V123" s="69"/>
      <c r="W123" s="69"/>
      <c r="Y123" s="189"/>
      <c r="Z123" s="69"/>
    </row>
    <row r="124" spans="1:26">
      <c r="A124" s="156">
        <f t="shared" si="66"/>
        <v>124</v>
      </c>
      <c r="B124" s="262"/>
      <c r="C124" s="726" t="s">
        <v>716</v>
      </c>
      <c r="D124" s="153"/>
      <c r="E124" s="678">
        <v>1058500</v>
      </c>
      <c r="F124" s="629">
        <v>2500</v>
      </c>
      <c r="G124" s="629">
        <v>250</v>
      </c>
      <c r="H124" s="630">
        <v>50</v>
      </c>
      <c r="I124" s="594">
        <f t="shared" si="67"/>
        <v>381.05</v>
      </c>
      <c r="J124" s="595">
        <f t="shared" si="68"/>
        <v>34.950000000000003</v>
      </c>
      <c r="K124" s="600">
        <f t="shared" si="69"/>
        <v>244.5</v>
      </c>
      <c r="L124" s="601">
        <f t="shared" si="70"/>
        <v>660.5</v>
      </c>
      <c r="M124" s="691">
        <f t="shared" si="71"/>
        <v>211.70000000000002</v>
      </c>
      <c r="N124" s="650">
        <f t="shared" si="72"/>
        <v>0</v>
      </c>
      <c r="O124" s="601">
        <f t="shared" si="73"/>
        <v>211.70000000000002</v>
      </c>
      <c r="P124" s="599">
        <f t="shared" si="74"/>
        <v>872.2</v>
      </c>
      <c r="Q124" s="69"/>
      <c r="R124" s="69"/>
      <c r="S124" s="69"/>
      <c r="T124" s="903"/>
      <c r="U124" s="208" t="s">
        <v>276</v>
      </c>
      <c r="V124" s="69"/>
      <c r="W124" s="69"/>
      <c r="Y124" s="189"/>
      <c r="Z124" s="69"/>
    </row>
    <row r="125" spans="1:26">
      <c r="A125" s="156" t="str">
        <f t="shared" si="66"/>
        <v/>
      </c>
      <c r="B125" s="262"/>
      <c r="C125" s="830"/>
      <c r="D125" s="831"/>
      <c r="E125" s="715"/>
      <c r="F125" s="692"/>
      <c r="G125" s="692"/>
      <c r="H125" s="692"/>
      <c r="I125" s="605"/>
      <c r="J125" s="606"/>
      <c r="K125" s="605"/>
      <c r="L125" s="607"/>
      <c r="M125" s="608"/>
      <c r="N125" s="608"/>
      <c r="O125" s="607"/>
      <c r="P125" s="609"/>
      <c r="Q125" s="69"/>
      <c r="R125" s="69"/>
      <c r="S125" s="69"/>
      <c r="T125" s="903"/>
      <c r="U125" s="209"/>
      <c r="V125" s="69"/>
      <c r="W125" s="69"/>
      <c r="Y125" s="189"/>
      <c r="Z125" s="69"/>
    </row>
    <row r="126" spans="1:26">
      <c r="A126" s="156" t="str">
        <f t="shared" si="66"/>
        <v/>
      </c>
      <c r="B126" s="262"/>
      <c r="C126" s="725"/>
      <c r="D126" s="153"/>
      <c r="E126" s="711"/>
      <c r="F126" s="629"/>
      <c r="G126" s="629"/>
      <c r="H126" s="629"/>
      <c r="I126" s="594"/>
      <c r="J126" s="595"/>
      <c r="K126" s="594"/>
      <c r="L126" s="596"/>
      <c r="M126" s="598"/>
      <c r="N126" s="598"/>
      <c r="O126" s="596"/>
      <c r="P126" s="596"/>
      <c r="Q126" s="69"/>
      <c r="R126" s="69"/>
      <c r="S126" s="69"/>
      <c r="T126" s="903"/>
      <c r="U126" s="202"/>
      <c r="V126" s="69"/>
      <c r="W126" s="69"/>
      <c r="Y126" s="189"/>
      <c r="Z126" s="69"/>
    </row>
    <row r="127" spans="1:26" ht="13.5" thickBot="1">
      <c r="A127" s="156" t="str">
        <f t="shared" si="66"/>
        <v/>
      </c>
      <c r="B127" s="266">
        <f>MAX($B$8:B126)+0.01</f>
        <v>6.0499999999999989</v>
      </c>
      <c r="C127" s="723" t="s">
        <v>721</v>
      </c>
      <c r="D127" s="95"/>
      <c r="E127" s="714"/>
      <c r="F127" s="693"/>
      <c r="G127" s="693"/>
      <c r="H127" s="694"/>
      <c r="I127" s="694"/>
      <c r="J127" s="694"/>
      <c r="K127" s="694"/>
      <c r="L127" s="694"/>
      <c r="M127" s="695"/>
      <c r="N127" s="695"/>
      <c r="O127" s="695"/>
      <c r="P127" s="697" t="s">
        <v>472</v>
      </c>
      <c r="Q127" s="154"/>
      <c r="R127" s="183"/>
      <c r="S127" s="310"/>
      <c r="T127" s="904"/>
      <c r="U127" s="204"/>
      <c r="V127" s="183"/>
      <c r="W127" s="183"/>
      <c r="Y127" s="189"/>
      <c r="Z127" s="69"/>
    </row>
    <row r="128" spans="1:26">
      <c r="A128" s="156" t="str">
        <f t="shared" si="66"/>
        <v/>
      </c>
      <c r="C128" s="821"/>
      <c r="D128" s="167"/>
      <c r="E128" s="560"/>
      <c r="F128" s="629"/>
      <c r="G128" s="629"/>
      <c r="H128" s="629"/>
      <c r="I128" s="594"/>
      <c r="J128" s="595"/>
      <c r="K128" s="594"/>
      <c r="L128" s="596"/>
      <c r="M128" s="598"/>
      <c r="N128" s="598"/>
      <c r="O128" s="596"/>
      <c r="P128" s="599"/>
      <c r="U128" s="205"/>
      <c r="Y128" s="189"/>
      <c r="Z128" s="69"/>
    </row>
    <row r="129" spans="1:26">
      <c r="A129" s="156" t="str">
        <f t="shared" si="66"/>
        <v/>
      </c>
      <c r="C129" s="821" t="s">
        <v>483</v>
      </c>
      <c r="D129" s="167"/>
      <c r="E129" s="560"/>
      <c r="F129" s="629"/>
      <c r="G129" s="629"/>
      <c r="H129" s="629"/>
      <c r="I129" s="594"/>
      <c r="J129" s="595"/>
      <c r="K129" s="594"/>
      <c r="L129" s="596"/>
      <c r="M129" s="598"/>
      <c r="N129" s="598"/>
      <c r="O129" s="596"/>
      <c r="P129" s="599"/>
      <c r="U129" s="205"/>
      <c r="Y129" s="189"/>
      <c r="Z129" s="69"/>
    </row>
    <row r="130" spans="1:26">
      <c r="A130" s="156" t="str">
        <f t="shared" si="66"/>
        <v/>
      </c>
      <c r="C130" s="821" t="s">
        <v>484</v>
      </c>
      <c r="D130" s="167"/>
      <c r="E130" s="560"/>
      <c r="F130" s="698"/>
      <c r="G130" s="640"/>
      <c r="H130" s="629"/>
      <c r="I130" s="594"/>
      <c r="J130" s="595"/>
      <c r="K130" s="594"/>
      <c r="L130" s="596"/>
      <c r="M130" s="598"/>
      <c r="N130" s="598"/>
      <c r="O130" s="596"/>
      <c r="P130" s="599"/>
      <c r="U130" s="205"/>
      <c r="Y130" s="189"/>
      <c r="Z130" s="69"/>
    </row>
    <row r="131" spans="1:26">
      <c r="A131" s="156" t="str">
        <f t="shared" si="66"/>
        <v/>
      </c>
      <c r="C131" s="821"/>
      <c r="D131" s="167"/>
      <c r="E131" s="560"/>
      <c r="F131" s="629"/>
      <c r="G131" s="629"/>
      <c r="H131" s="629"/>
      <c r="I131" s="594"/>
      <c r="J131" s="595"/>
      <c r="K131" s="594"/>
      <c r="L131" s="596"/>
      <c r="M131" s="598"/>
      <c r="N131" s="598"/>
      <c r="O131" s="596"/>
      <c r="P131" s="599"/>
      <c r="U131" s="206"/>
      <c r="Y131" s="189"/>
      <c r="Z131" s="69"/>
    </row>
    <row r="132" spans="1:26">
      <c r="A132" s="267"/>
      <c r="C132" s="822" t="s">
        <v>718</v>
      </c>
      <c r="D132" s="167"/>
      <c r="E132" s="560"/>
      <c r="F132" s="629"/>
      <c r="G132" s="629"/>
      <c r="H132" s="629"/>
      <c r="I132" s="594"/>
      <c r="J132" s="595"/>
      <c r="K132" s="594"/>
      <c r="L132" s="596"/>
      <c r="M132" s="598"/>
      <c r="N132" s="598"/>
      <c r="O132" s="596"/>
      <c r="P132" s="599"/>
      <c r="U132" s="206"/>
      <c r="Y132" s="268"/>
      <c r="Z132" s="69"/>
    </row>
    <row r="133" spans="1:26">
      <c r="A133" s="156">
        <f t="shared" si="66"/>
        <v>133</v>
      </c>
      <c r="B133" s="262"/>
      <c r="C133" s="726" t="s">
        <v>723</v>
      </c>
      <c r="D133" s="153"/>
      <c r="E133" s="678">
        <v>214250</v>
      </c>
      <c r="F133" s="629">
        <v>2500</v>
      </c>
      <c r="G133" s="629">
        <v>250</v>
      </c>
      <c r="H133" s="630">
        <v>50</v>
      </c>
      <c r="I133" s="594">
        <f>MROUND(E133*(1-$E$677/100)/F133,0.05)</f>
        <v>77.150000000000006</v>
      </c>
      <c r="J133" s="595">
        <f>MROUND($E133*(1+$E$677/100)/2*$E$682/100/$G133,0.05)</f>
        <v>7.0500000000000007</v>
      </c>
      <c r="K133" s="600">
        <f>MROUND($E133*(1+$E$677/100)/2*$E$678/100/$G133,0.05)</f>
        <v>49.5</v>
      </c>
      <c r="L133" s="601">
        <f t="shared" ref="L133:L137" si="75">SUM(I133:K133)</f>
        <v>133.69999999999999</v>
      </c>
      <c r="M133" s="691">
        <f>MROUND($E133*$H133/100/$F133,0.05)</f>
        <v>42.85</v>
      </c>
      <c r="N133" s="650">
        <f t="shared" ref="N133:N137" si="76">MROUND(Y133*Z133,0.05)</f>
        <v>0</v>
      </c>
      <c r="O133" s="601">
        <f t="shared" ref="O133:O137" si="77">SUM(M133:N133)</f>
        <v>42.85</v>
      </c>
      <c r="P133" s="599">
        <f t="shared" ref="P133:P137" si="78">O133+L133</f>
        <v>176.54999999999998</v>
      </c>
      <c r="Q133" s="69"/>
      <c r="R133" s="69"/>
      <c r="S133" s="69"/>
      <c r="T133" s="903"/>
      <c r="U133" s="208">
        <v>150</v>
      </c>
      <c r="V133" s="69"/>
      <c r="W133" s="69"/>
      <c r="Y133" s="189"/>
      <c r="Z133" s="69"/>
    </row>
    <row r="134" spans="1:26">
      <c r="A134" s="156">
        <f t="shared" si="66"/>
        <v>134</v>
      </c>
      <c r="B134" s="262"/>
      <c r="C134" s="726" t="s">
        <v>724</v>
      </c>
      <c r="D134" s="153"/>
      <c r="E134" s="678">
        <v>276000</v>
      </c>
      <c r="F134" s="629">
        <v>2500</v>
      </c>
      <c r="G134" s="629">
        <v>250</v>
      </c>
      <c r="H134" s="630">
        <v>50</v>
      </c>
      <c r="I134" s="594">
        <f>MROUND(E134*(1-$E$677/100)/F134,0.05)</f>
        <v>99.350000000000009</v>
      </c>
      <c r="J134" s="595">
        <f>MROUND($E134*(1+$E$677/100)/2*$E$682/100/$G134,0.05)</f>
        <v>9.1</v>
      </c>
      <c r="K134" s="600">
        <f>MROUND($E134*(1+$E$677/100)/2*$E$678/100/$G134,0.05)</f>
        <v>63.75</v>
      </c>
      <c r="L134" s="601">
        <f t="shared" si="75"/>
        <v>172.2</v>
      </c>
      <c r="M134" s="691">
        <f>MROUND($E134*$H134/100/$F134,0.05)</f>
        <v>55.2</v>
      </c>
      <c r="N134" s="650">
        <f t="shared" si="76"/>
        <v>0</v>
      </c>
      <c r="O134" s="601">
        <f t="shared" si="77"/>
        <v>55.2</v>
      </c>
      <c r="P134" s="599">
        <f t="shared" si="78"/>
        <v>227.39999999999998</v>
      </c>
      <c r="Q134" s="69"/>
      <c r="R134" s="69"/>
      <c r="S134" s="69"/>
      <c r="T134" s="903"/>
      <c r="U134" s="208">
        <v>210</v>
      </c>
      <c r="V134" s="69"/>
      <c r="W134" s="69"/>
      <c r="Y134" s="189"/>
      <c r="Z134" s="69"/>
    </row>
    <row r="135" spans="1:26">
      <c r="A135" s="156">
        <f t="shared" si="66"/>
        <v>135</v>
      </c>
      <c r="B135" s="262"/>
      <c r="C135" s="726" t="s">
        <v>725</v>
      </c>
      <c r="D135" s="153"/>
      <c r="E135" s="678">
        <v>370000</v>
      </c>
      <c r="F135" s="629">
        <v>2500</v>
      </c>
      <c r="G135" s="629">
        <v>250</v>
      </c>
      <c r="H135" s="630">
        <v>50</v>
      </c>
      <c r="I135" s="594">
        <f>MROUND(E135*(1-$E$677/100)/F135,0.05)</f>
        <v>133.20000000000002</v>
      </c>
      <c r="J135" s="595">
        <f>MROUND($E135*(1+$E$677/100)/2*$E$682/100/$G135,0.05)</f>
        <v>12.200000000000001</v>
      </c>
      <c r="K135" s="600">
        <f>MROUND($E135*(1+$E$677/100)/2*$E$678/100/$G135,0.05)</f>
        <v>85.45</v>
      </c>
      <c r="L135" s="601">
        <f t="shared" si="75"/>
        <v>230.85000000000002</v>
      </c>
      <c r="M135" s="691">
        <f>MROUND($E135*$H135/100/$F135,0.05)</f>
        <v>74</v>
      </c>
      <c r="N135" s="650">
        <f t="shared" si="76"/>
        <v>0</v>
      </c>
      <c r="O135" s="601">
        <f t="shared" si="77"/>
        <v>74</v>
      </c>
      <c r="P135" s="599">
        <f t="shared" si="78"/>
        <v>304.85000000000002</v>
      </c>
      <c r="Q135" s="69"/>
      <c r="R135" s="69"/>
      <c r="S135" s="69"/>
      <c r="T135" s="903"/>
      <c r="U135" s="208">
        <v>270</v>
      </c>
      <c r="V135" s="69"/>
      <c r="W135" s="69"/>
      <c r="Y135" s="189"/>
      <c r="Z135" s="69"/>
    </row>
    <row r="136" spans="1:26">
      <c r="A136" s="156">
        <f t="shared" si="66"/>
        <v>136</v>
      </c>
      <c r="B136" s="262"/>
      <c r="C136" s="726" t="s">
        <v>726</v>
      </c>
      <c r="D136" s="153"/>
      <c r="E136" s="678">
        <v>431750</v>
      </c>
      <c r="F136" s="629">
        <v>2500</v>
      </c>
      <c r="G136" s="629">
        <v>250</v>
      </c>
      <c r="H136" s="630">
        <v>50</v>
      </c>
      <c r="I136" s="594">
        <f>MROUND(E136*(1-$E$677/100)/F136,0.05)</f>
        <v>155.45000000000002</v>
      </c>
      <c r="J136" s="595">
        <f>MROUND($E136*(1+$E$677/100)/2*$E$682/100/$G136,0.05)</f>
        <v>14.25</v>
      </c>
      <c r="K136" s="600">
        <f>MROUND($E136*(1+$E$677/100)/2*$E$678/100/$G136,0.05)</f>
        <v>99.75</v>
      </c>
      <c r="L136" s="601">
        <f t="shared" si="75"/>
        <v>269.45000000000005</v>
      </c>
      <c r="M136" s="691">
        <f>MROUND($E136*$H136/100/$F136,0.05)</f>
        <v>86.350000000000009</v>
      </c>
      <c r="N136" s="650">
        <f t="shared" si="76"/>
        <v>0</v>
      </c>
      <c r="O136" s="601">
        <f t="shared" si="77"/>
        <v>86.350000000000009</v>
      </c>
      <c r="P136" s="599">
        <f t="shared" si="78"/>
        <v>355.80000000000007</v>
      </c>
      <c r="Q136" s="69"/>
      <c r="R136" s="69"/>
      <c r="S136" s="69"/>
      <c r="T136" s="903"/>
      <c r="U136" s="208">
        <v>330</v>
      </c>
      <c r="V136" s="69"/>
      <c r="W136" s="69"/>
      <c r="Y136" s="189"/>
      <c r="Z136" s="69"/>
    </row>
    <row r="137" spans="1:26">
      <c r="A137" s="156">
        <f t="shared" si="66"/>
        <v>137</v>
      </c>
      <c r="B137" s="262"/>
      <c r="C137" s="726" t="s">
        <v>727</v>
      </c>
      <c r="D137" s="153"/>
      <c r="E137" s="678">
        <v>505000</v>
      </c>
      <c r="F137" s="629">
        <v>2500</v>
      </c>
      <c r="G137" s="629">
        <v>250</v>
      </c>
      <c r="H137" s="630">
        <v>50</v>
      </c>
      <c r="I137" s="594">
        <f>MROUND(E137*(1-$E$677/100)/F137,0.05)</f>
        <v>181.8</v>
      </c>
      <c r="J137" s="595">
        <f>MROUND($E137*(1+$E$677/100)/2*$E$682/100/$G137,0.05)</f>
        <v>16.650000000000002</v>
      </c>
      <c r="K137" s="600">
        <f>MROUND($E137*(1+$E$677/100)/2*$E$678/100/$G137,0.05)</f>
        <v>116.65</v>
      </c>
      <c r="L137" s="601">
        <f t="shared" si="75"/>
        <v>315.10000000000002</v>
      </c>
      <c r="M137" s="691">
        <f>MROUND($E137*$H137/100/$F137,0.05)</f>
        <v>101</v>
      </c>
      <c r="N137" s="650">
        <f t="shared" si="76"/>
        <v>0</v>
      </c>
      <c r="O137" s="601">
        <f t="shared" si="77"/>
        <v>101</v>
      </c>
      <c r="P137" s="599">
        <f t="shared" si="78"/>
        <v>416.1</v>
      </c>
      <c r="Q137" s="69"/>
      <c r="R137" s="69"/>
      <c r="S137" s="69"/>
      <c r="T137" s="903"/>
      <c r="U137" s="208">
        <v>390</v>
      </c>
      <c r="V137" s="69"/>
      <c r="W137" s="69"/>
      <c r="Y137" s="189"/>
      <c r="Z137" s="69"/>
    </row>
    <row r="138" spans="1:26">
      <c r="A138" s="156" t="str">
        <f t="shared" si="66"/>
        <v/>
      </c>
      <c r="C138" s="821"/>
      <c r="D138" s="167"/>
      <c r="E138" s="790"/>
      <c r="F138" s="629"/>
      <c r="G138" s="629"/>
      <c r="H138" s="629"/>
      <c r="I138" s="594"/>
      <c r="J138" s="595"/>
      <c r="K138" s="594"/>
      <c r="L138" s="596"/>
      <c r="M138" s="598"/>
      <c r="N138" s="598"/>
      <c r="O138" s="596"/>
      <c r="P138" s="599"/>
      <c r="U138" s="206"/>
      <c r="Y138" s="189"/>
      <c r="Z138" s="69"/>
    </row>
    <row r="139" spans="1:26">
      <c r="A139" s="267"/>
      <c r="C139" s="822" t="s">
        <v>717</v>
      </c>
      <c r="D139" s="167"/>
      <c r="E139" s="790"/>
      <c r="F139" s="629"/>
      <c r="G139" s="629"/>
      <c r="H139" s="629"/>
      <c r="I139" s="594"/>
      <c r="J139" s="595"/>
      <c r="K139" s="594"/>
      <c r="L139" s="596"/>
      <c r="M139" s="598"/>
      <c r="N139" s="598"/>
      <c r="O139" s="596"/>
      <c r="P139" s="599"/>
      <c r="U139" s="206"/>
      <c r="Y139" s="268"/>
      <c r="Z139" s="69"/>
    </row>
    <row r="140" spans="1:26">
      <c r="A140" s="156">
        <f t="shared" si="66"/>
        <v>140</v>
      </c>
      <c r="B140" s="262"/>
      <c r="C140" s="726" t="s">
        <v>728</v>
      </c>
      <c r="D140" s="153"/>
      <c r="E140" s="678">
        <v>309250</v>
      </c>
      <c r="F140" s="629">
        <v>2500</v>
      </c>
      <c r="G140" s="629">
        <v>250</v>
      </c>
      <c r="H140" s="630">
        <v>50</v>
      </c>
      <c r="I140" s="594">
        <f>MROUND(E140*(1-$E$677/100)/F140,0.05)</f>
        <v>111.35000000000001</v>
      </c>
      <c r="J140" s="595">
        <f>MROUND($E140*(1+$E$677/100)/2*$E$682/100/$G140,0.05)</f>
        <v>10.200000000000001</v>
      </c>
      <c r="K140" s="600">
        <f>MROUND($E140*(1+$E$677/100)/2*$E$678/100/$G140,0.05)</f>
        <v>71.45</v>
      </c>
      <c r="L140" s="601">
        <f t="shared" ref="L140:L144" si="79">SUM(I140:K140)</f>
        <v>193</v>
      </c>
      <c r="M140" s="691">
        <f>MROUND($E140*$H140/100/$F140,0.05)</f>
        <v>61.85</v>
      </c>
      <c r="N140" s="650">
        <f t="shared" ref="N140:N144" si="80">MROUND(Y140*Z140,0.05)</f>
        <v>0</v>
      </c>
      <c r="O140" s="601">
        <f t="shared" ref="O140:O144" si="81">SUM(M140:N140)</f>
        <v>61.85</v>
      </c>
      <c r="P140" s="599">
        <f t="shared" ref="P140:P144" si="82">O140+L140</f>
        <v>254.85</v>
      </c>
      <c r="Q140" s="69"/>
      <c r="R140" s="69"/>
      <c r="S140" s="69"/>
      <c r="T140" s="903"/>
      <c r="U140" s="208">
        <v>200</v>
      </c>
      <c r="V140" s="69"/>
      <c r="W140" s="69"/>
      <c r="Y140" s="189"/>
      <c r="Z140" s="69"/>
    </row>
    <row r="141" spans="1:26">
      <c r="A141" s="156">
        <f t="shared" si="66"/>
        <v>141</v>
      </c>
      <c r="B141" s="262"/>
      <c r="C141" s="726" t="s">
        <v>729</v>
      </c>
      <c r="D141" s="153"/>
      <c r="E141" s="678">
        <v>366500</v>
      </c>
      <c r="F141" s="629">
        <v>2500</v>
      </c>
      <c r="G141" s="629">
        <v>250</v>
      </c>
      <c r="H141" s="630">
        <v>50</v>
      </c>
      <c r="I141" s="594">
        <f>MROUND(E141*(1-$E$677/100)/F141,0.05)</f>
        <v>131.95000000000002</v>
      </c>
      <c r="J141" s="595">
        <f>MROUND($E141*(1+$E$677/100)/2*$E$682/100/$G141,0.05)</f>
        <v>12.100000000000001</v>
      </c>
      <c r="K141" s="600">
        <f>MROUND($E141*(1+$E$677/100)/2*$E$678/100/$G141,0.05)</f>
        <v>84.65</v>
      </c>
      <c r="L141" s="601">
        <f t="shared" si="79"/>
        <v>228.70000000000002</v>
      </c>
      <c r="M141" s="691">
        <f>MROUND($E141*$H141/100/$F141,0.05)</f>
        <v>73.3</v>
      </c>
      <c r="N141" s="650">
        <f t="shared" si="80"/>
        <v>0</v>
      </c>
      <c r="O141" s="601">
        <f t="shared" si="81"/>
        <v>73.3</v>
      </c>
      <c r="P141" s="599">
        <f t="shared" si="82"/>
        <v>302</v>
      </c>
      <c r="Q141" s="69"/>
      <c r="R141" s="69"/>
      <c r="S141" s="69"/>
      <c r="T141" s="903"/>
      <c r="U141" s="208">
        <v>280</v>
      </c>
      <c r="V141" s="69"/>
      <c r="W141" s="69"/>
      <c r="Y141" s="189"/>
      <c r="Z141" s="69"/>
    </row>
    <row r="142" spans="1:26">
      <c r="A142" s="156">
        <f t="shared" si="66"/>
        <v>142</v>
      </c>
      <c r="B142" s="262"/>
      <c r="C142" s="726" t="s">
        <v>730</v>
      </c>
      <c r="D142" s="153"/>
      <c r="E142" s="678">
        <v>399750</v>
      </c>
      <c r="F142" s="629">
        <v>2500</v>
      </c>
      <c r="G142" s="629">
        <v>250</v>
      </c>
      <c r="H142" s="630">
        <v>50</v>
      </c>
      <c r="I142" s="594">
        <f>MROUND(E142*(1-$E$677/100)/F142,0.05)</f>
        <v>143.9</v>
      </c>
      <c r="J142" s="595">
        <f>MROUND($E142*(1+$E$677/100)/2*$E$682/100/$G142,0.05)</f>
        <v>13.200000000000001</v>
      </c>
      <c r="K142" s="600">
        <f>MROUND($E142*(1+$E$677/100)/2*$E$678/100/$G142,0.05)</f>
        <v>92.350000000000009</v>
      </c>
      <c r="L142" s="601">
        <f t="shared" si="79"/>
        <v>249.45</v>
      </c>
      <c r="M142" s="691">
        <f>MROUND($E142*$H142/100/$F142,0.05)</f>
        <v>79.95</v>
      </c>
      <c r="N142" s="650">
        <f t="shared" si="80"/>
        <v>0</v>
      </c>
      <c r="O142" s="601">
        <f t="shared" si="81"/>
        <v>79.95</v>
      </c>
      <c r="P142" s="599">
        <f t="shared" si="82"/>
        <v>329.4</v>
      </c>
      <c r="Q142" s="69"/>
      <c r="R142" s="69"/>
      <c r="S142" s="69"/>
      <c r="T142" s="903"/>
      <c r="U142" s="208">
        <v>360</v>
      </c>
      <c r="V142" s="69"/>
      <c r="W142" s="69"/>
      <c r="Y142" s="189"/>
      <c r="Z142" s="69"/>
    </row>
    <row r="143" spans="1:26">
      <c r="A143" s="156">
        <f t="shared" si="66"/>
        <v>143</v>
      </c>
      <c r="B143" s="262"/>
      <c r="C143" s="726" t="s">
        <v>731</v>
      </c>
      <c r="D143" s="153"/>
      <c r="E143" s="678">
        <v>457000</v>
      </c>
      <c r="F143" s="629">
        <v>2500</v>
      </c>
      <c r="G143" s="629">
        <v>250</v>
      </c>
      <c r="H143" s="630">
        <v>50</v>
      </c>
      <c r="I143" s="594">
        <f>MROUND(E143*(1-$E$677/100)/F143,0.05)</f>
        <v>164.5</v>
      </c>
      <c r="J143" s="595">
        <f>MROUND($E143*(1+$E$677/100)/2*$E$682/100/$G143,0.05)</f>
        <v>15.100000000000001</v>
      </c>
      <c r="K143" s="600">
        <f>MROUND($E143*(1+$E$677/100)/2*$E$678/100/$G143,0.05)</f>
        <v>105.55000000000001</v>
      </c>
      <c r="L143" s="601">
        <f t="shared" si="79"/>
        <v>285.14999999999998</v>
      </c>
      <c r="M143" s="691">
        <f>MROUND($E143*$H143/100/$F143,0.05)</f>
        <v>91.4</v>
      </c>
      <c r="N143" s="650">
        <f t="shared" si="80"/>
        <v>0</v>
      </c>
      <c r="O143" s="601">
        <f t="shared" si="81"/>
        <v>91.4</v>
      </c>
      <c r="P143" s="599">
        <f t="shared" si="82"/>
        <v>376.54999999999995</v>
      </c>
      <c r="Q143" s="69"/>
      <c r="R143" s="69"/>
      <c r="S143" s="69"/>
      <c r="T143" s="903"/>
      <c r="U143" s="208">
        <v>440</v>
      </c>
      <c r="V143" s="69"/>
      <c r="W143" s="69"/>
      <c r="Y143" s="189"/>
      <c r="Z143" s="69"/>
    </row>
    <row r="144" spans="1:26">
      <c r="A144" s="156">
        <f t="shared" si="66"/>
        <v>144</v>
      </c>
      <c r="B144" s="262"/>
      <c r="C144" s="726" t="s">
        <v>732</v>
      </c>
      <c r="D144" s="153"/>
      <c r="E144" s="678">
        <v>526750</v>
      </c>
      <c r="F144" s="629">
        <v>2500</v>
      </c>
      <c r="G144" s="629">
        <v>250</v>
      </c>
      <c r="H144" s="630">
        <v>50</v>
      </c>
      <c r="I144" s="594">
        <f>MROUND(E144*(1-$E$677/100)/F144,0.05)</f>
        <v>189.65</v>
      </c>
      <c r="J144" s="595">
        <f>MROUND($E144*(1+$E$677/100)/2*$E$682/100/$G144,0.05)</f>
        <v>17.400000000000002</v>
      </c>
      <c r="K144" s="600">
        <f>MROUND($E144*(1+$E$677/100)/2*$E$678/100/$G144,0.05)</f>
        <v>121.7</v>
      </c>
      <c r="L144" s="601">
        <f t="shared" si="79"/>
        <v>328.75</v>
      </c>
      <c r="M144" s="691">
        <f>MROUND($E144*$H144/100/$F144,0.05)</f>
        <v>105.35000000000001</v>
      </c>
      <c r="N144" s="650">
        <f t="shared" si="80"/>
        <v>0</v>
      </c>
      <c r="O144" s="601">
        <f t="shared" si="81"/>
        <v>105.35000000000001</v>
      </c>
      <c r="P144" s="599">
        <f t="shared" si="82"/>
        <v>434.1</v>
      </c>
      <c r="Q144" s="69"/>
      <c r="R144" s="69"/>
      <c r="S144" s="69"/>
      <c r="T144" s="903"/>
      <c r="U144" s="208">
        <v>520</v>
      </c>
      <c r="V144" s="69"/>
      <c r="W144" s="69"/>
      <c r="Y144" s="189"/>
      <c r="Z144" s="69"/>
    </row>
    <row r="145" spans="1:26">
      <c r="A145" s="156" t="str">
        <f t="shared" si="66"/>
        <v/>
      </c>
      <c r="B145" s="262"/>
      <c r="C145" s="830"/>
      <c r="D145" s="831"/>
      <c r="E145" s="715"/>
      <c r="F145" s="692"/>
      <c r="G145" s="692"/>
      <c r="H145" s="692"/>
      <c r="I145" s="605"/>
      <c r="J145" s="606"/>
      <c r="K145" s="605"/>
      <c r="L145" s="607"/>
      <c r="M145" s="608"/>
      <c r="N145" s="608"/>
      <c r="O145" s="607"/>
      <c r="P145" s="609"/>
      <c r="Q145" s="69"/>
      <c r="R145" s="69"/>
      <c r="S145" s="69"/>
      <c r="T145" s="903"/>
      <c r="U145" s="209"/>
      <c r="V145" s="69"/>
      <c r="W145" s="69"/>
      <c r="Y145" s="189"/>
      <c r="Z145" s="69"/>
    </row>
    <row r="146" spans="1:26">
      <c r="A146" s="156" t="str">
        <f t="shared" si="66"/>
        <v/>
      </c>
      <c r="B146" s="262"/>
      <c r="C146" s="725"/>
      <c r="D146" s="153"/>
      <c r="E146" s="711"/>
      <c r="F146" s="629"/>
      <c r="G146" s="629"/>
      <c r="H146" s="629"/>
      <c r="I146" s="594"/>
      <c r="J146" s="595"/>
      <c r="K146" s="594"/>
      <c r="L146" s="596"/>
      <c r="M146" s="598"/>
      <c r="N146" s="598"/>
      <c r="O146" s="596"/>
      <c r="P146" s="596"/>
      <c r="Q146" s="69"/>
      <c r="R146" s="69"/>
      <c r="S146" s="69"/>
      <c r="T146" s="903"/>
      <c r="U146" s="202"/>
      <c r="V146" s="69"/>
      <c r="W146" s="69"/>
      <c r="Y146" s="189"/>
      <c r="Z146" s="69"/>
    </row>
    <row r="147" spans="1:26" ht="13.5" thickBot="1">
      <c r="A147" s="156" t="str">
        <f t="shared" ref="A147:A163" si="83">IF(ISNUMBER(E147),ROW(),"")</f>
        <v/>
      </c>
      <c r="B147" s="266">
        <f>MAX($B$8:B146)+0.01</f>
        <v>6.0599999999999987</v>
      </c>
      <c r="C147" s="824" t="s">
        <v>463</v>
      </c>
      <c r="D147" s="832"/>
      <c r="E147" s="713"/>
      <c r="F147" s="683"/>
      <c r="G147" s="683"/>
      <c r="H147" s="684"/>
      <c r="I147" s="684"/>
      <c r="J147" s="684"/>
      <c r="K147" s="684"/>
      <c r="L147" s="684"/>
      <c r="M147" s="685"/>
      <c r="N147" s="685"/>
      <c r="O147" s="685"/>
      <c r="P147" s="697" t="s">
        <v>350</v>
      </c>
      <c r="U147" s="204"/>
      <c r="Y147" s="189"/>
      <c r="Z147" s="69"/>
    </row>
    <row r="148" spans="1:26">
      <c r="A148" s="156" t="str">
        <f t="shared" si="83"/>
        <v/>
      </c>
      <c r="B148" s="261"/>
      <c r="C148" s="825"/>
      <c r="D148" s="826"/>
      <c r="E148" s="709"/>
      <c r="F148" s="687"/>
      <c r="G148" s="687"/>
      <c r="H148" s="699"/>
      <c r="I148" s="589"/>
      <c r="J148" s="589"/>
      <c r="K148" s="589"/>
      <c r="L148" s="589"/>
      <c r="M148" s="688"/>
      <c r="N148" s="688"/>
      <c r="O148" s="688"/>
      <c r="P148" s="689"/>
      <c r="Q148" s="69"/>
      <c r="R148" s="69"/>
      <c r="S148" s="69"/>
      <c r="T148" s="903"/>
      <c r="U148" s="205"/>
      <c r="Y148" s="189"/>
      <c r="Z148" s="69"/>
    </row>
    <row r="149" spans="1:26">
      <c r="A149" s="156">
        <f t="shared" si="83"/>
        <v>149</v>
      </c>
      <c r="B149" s="262"/>
      <c r="C149" s="726" t="s">
        <v>773</v>
      </c>
      <c r="D149" s="153"/>
      <c r="E149" s="678">
        <v>15750</v>
      </c>
      <c r="F149" s="629">
        <v>2500</v>
      </c>
      <c r="G149" s="629">
        <v>250</v>
      </c>
      <c r="H149" s="630">
        <v>100</v>
      </c>
      <c r="I149" s="594">
        <f>MROUND(E149*(1-$E$677/100)/F149,0.05)</f>
        <v>5.65</v>
      </c>
      <c r="J149" s="595">
        <f>MROUND($E149*(1+$E$677/100)/2*$E$682/100/$G149,0.05)</f>
        <v>0.5</v>
      </c>
      <c r="K149" s="600">
        <f>MROUND($E149*(1+$E$677/100)/2*$E$678/100/$G149,0.05)</f>
        <v>3.6500000000000004</v>
      </c>
      <c r="L149" s="601">
        <f t="shared" ref="L149:L151" si="84">SUM(I149:K149)</f>
        <v>9.8000000000000007</v>
      </c>
      <c r="M149" s="691">
        <f>MROUND($E149*$H149/100/$F149,0.05)</f>
        <v>6.3000000000000007</v>
      </c>
      <c r="N149" s="650">
        <f t="shared" ref="N149:N151" si="85">MROUND(Y149*Z149,0.05)</f>
        <v>0</v>
      </c>
      <c r="O149" s="601">
        <f t="shared" ref="O149:O151" si="86">SUM(M149:N149)</f>
        <v>6.3000000000000007</v>
      </c>
      <c r="P149" s="599">
        <f t="shared" ref="P149:P151" si="87">O149+L149</f>
        <v>16.100000000000001</v>
      </c>
      <c r="Q149" s="69"/>
      <c r="R149" s="69"/>
      <c r="S149" s="69"/>
      <c r="T149" s="903"/>
      <c r="U149" s="208" t="s">
        <v>348</v>
      </c>
      <c r="V149" s="69"/>
      <c r="W149" s="69"/>
      <c r="Y149" s="189"/>
      <c r="Z149" s="69"/>
    </row>
    <row r="150" spans="1:26">
      <c r="A150" s="156">
        <f t="shared" si="83"/>
        <v>150</v>
      </c>
      <c r="B150" s="262"/>
      <c r="C150" s="726" t="s">
        <v>771</v>
      </c>
      <c r="D150" s="153"/>
      <c r="E150" s="678">
        <v>22000</v>
      </c>
      <c r="F150" s="629">
        <v>2500</v>
      </c>
      <c r="G150" s="629">
        <v>250</v>
      </c>
      <c r="H150" s="630">
        <v>100</v>
      </c>
      <c r="I150" s="594">
        <f>MROUND(E150*(1-$E$677/100)/F150,0.05)</f>
        <v>7.9</v>
      </c>
      <c r="J150" s="595">
        <f>MROUND($E150*(1+$E$677/100)/2*$E$682/100/$G150,0.05)</f>
        <v>0.75</v>
      </c>
      <c r="K150" s="600">
        <f>MROUND($E150*(1+$E$677/100)/2*$E$678/100/$G150,0.05)</f>
        <v>5.1000000000000005</v>
      </c>
      <c r="L150" s="601">
        <f t="shared" si="84"/>
        <v>13.75</v>
      </c>
      <c r="M150" s="691">
        <f>MROUND($E150*$H150/100/$F150,0.05)</f>
        <v>8.8000000000000007</v>
      </c>
      <c r="N150" s="650">
        <f t="shared" si="85"/>
        <v>0</v>
      </c>
      <c r="O150" s="601">
        <f t="shared" si="86"/>
        <v>8.8000000000000007</v>
      </c>
      <c r="P150" s="599">
        <f t="shared" si="87"/>
        <v>22.55</v>
      </c>
      <c r="Q150" s="69"/>
      <c r="R150" s="69"/>
      <c r="S150" s="69"/>
      <c r="T150" s="903"/>
      <c r="U150" s="208" t="s">
        <v>349</v>
      </c>
      <c r="V150" s="69"/>
      <c r="W150" s="69"/>
      <c r="Y150" s="189"/>
      <c r="Z150" s="69"/>
    </row>
    <row r="151" spans="1:26">
      <c r="A151" s="156">
        <f t="shared" si="83"/>
        <v>151</v>
      </c>
      <c r="B151" s="262"/>
      <c r="C151" s="726" t="s">
        <v>772</v>
      </c>
      <c r="D151" s="153"/>
      <c r="E151" s="678">
        <v>31250</v>
      </c>
      <c r="F151" s="629">
        <v>2500</v>
      </c>
      <c r="G151" s="629">
        <v>250</v>
      </c>
      <c r="H151" s="630">
        <v>100</v>
      </c>
      <c r="I151" s="594">
        <f>MROUND(E151*(1-$E$677/100)/F151,0.05)</f>
        <v>11.25</v>
      </c>
      <c r="J151" s="595">
        <f>MROUND($E151*(1+$E$677/100)/2*$E$682/100/$G151,0.05)</f>
        <v>1.05</v>
      </c>
      <c r="K151" s="600">
        <f>MROUND($E151*(1+$E$677/100)/2*$E$678/100/$G151,0.05)</f>
        <v>7.2</v>
      </c>
      <c r="L151" s="601">
        <f t="shared" si="84"/>
        <v>19.5</v>
      </c>
      <c r="M151" s="691">
        <f>MROUND($E151*$H151/100/$F151,0.05)</f>
        <v>12.5</v>
      </c>
      <c r="N151" s="650">
        <f t="shared" si="85"/>
        <v>0</v>
      </c>
      <c r="O151" s="601">
        <f t="shared" si="86"/>
        <v>12.5</v>
      </c>
      <c r="P151" s="599">
        <f t="shared" si="87"/>
        <v>32</v>
      </c>
      <c r="Q151" s="69"/>
      <c r="R151" s="69"/>
      <c r="S151" s="69"/>
      <c r="T151" s="903"/>
      <c r="U151" s="208" t="s">
        <v>349</v>
      </c>
      <c r="V151" s="69"/>
      <c r="W151" s="69"/>
      <c r="Y151" s="189"/>
      <c r="Z151" s="69"/>
    </row>
    <row r="152" spans="1:26">
      <c r="A152" s="156" t="str">
        <f t="shared" si="83"/>
        <v/>
      </c>
      <c r="B152" s="261"/>
      <c r="C152" s="823"/>
      <c r="D152" s="170"/>
      <c r="E152" s="563"/>
      <c r="F152" s="692"/>
      <c r="G152" s="692"/>
      <c r="H152" s="692"/>
      <c r="I152" s="605"/>
      <c r="J152" s="606"/>
      <c r="K152" s="605"/>
      <c r="L152" s="607"/>
      <c r="M152" s="608"/>
      <c r="N152" s="608"/>
      <c r="O152" s="607"/>
      <c r="P152" s="609"/>
      <c r="U152" s="207"/>
      <c r="Y152" s="189"/>
      <c r="Z152" s="69"/>
    </row>
    <row r="153" spans="1:26">
      <c r="A153" s="156" t="str">
        <f t="shared" si="83"/>
        <v/>
      </c>
      <c r="B153" s="261"/>
      <c r="C153" s="725"/>
      <c r="D153" s="153"/>
      <c r="E153" s="557"/>
      <c r="F153" s="585"/>
      <c r="G153" s="585"/>
      <c r="H153" s="585"/>
      <c r="I153" s="585"/>
      <c r="J153" s="585"/>
      <c r="K153" s="585"/>
      <c r="L153" s="585"/>
      <c r="M153" s="175"/>
      <c r="N153" s="175"/>
      <c r="O153" s="175"/>
      <c r="P153" s="585"/>
      <c r="U153" s="201"/>
      <c r="Y153" s="189"/>
      <c r="Z153" s="69"/>
    </row>
    <row r="154" spans="1:26" ht="13.5" thickBot="1">
      <c r="A154" s="156" t="str">
        <f t="shared" ref="A154:A161" si="88">IF(ISNUMBER(E154),ROW(),"")</f>
        <v/>
      </c>
      <c r="B154" s="266">
        <f>MAX($B$8:B153)+0.01</f>
        <v>6.0699999999999985</v>
      </c>
      <c r="C154" s="824" t="s">
        <v>303</v>
      </c>
      <c r="D154" s="832"/>
      <c r="E154" s="713"/>
      <c r="F154" s="683"/>
      <c r="G154" s="683"/>
      <c r="H154" s="684"/>
      <c r="I154" s="684"/>
      <c r="J154" s="684"/>
      <c r="K154" s="684"/>
      <c r="L154" s="684"/>
      <c r="M154" s="685"/>
      <c r="N154" s="685"/>
      <c r="O154" s="685"/>
      <c r="P154" s="697" t="s">
        <v>304</v>
      </c>
      <c r="U154" s="204"/>
      <c r="Y154" s="189"/>
      <c r="Z154" s="69"/>
    </row>
    <row r="155" spans="1:26">
      <c r="A155" s="156" t="str">
        <f t="shared" si="88"/>
        <v/>
      </c>
      <c r="B155" s="261"/>
      <c r="C155" s="825"/>
      <c r="D155" s="826"/>
      <c r="E155" s="709"/>
      <c r="F155" s="687"/>
      <c r="G155" s="687"/>
      <c r="H155" s="699"/>
      <c r="I155" s="589"/>
      <c r="J155" s="589"/>
      <c r="K155" s="589"/>
      <c r="L155" s="589"/>
      <c r="M155" s="688"/>
      <c r="N155" s="688"/>
      <c r="O155" s="688"/>
      <c r="P155" s="689"/>
      <c r="Q155" s="69"/>
      <c r="R155" s="69"/>
      <c r="S155" s="69"/>
      <c r="T155" s="903"/>
      <c r="U155" s="205"/>
      <c r="Y155" s="189"/>
      <c r="Z155" s="69"/>
    </row>
    <row r="156" spans="1:26">
      <c r="A156" s="156" t="str">
        <f t="shared" si="88"/>
        <v/>
      </c>
      <c r="B156" s="261"/>
      <c r="C156" s="822" t="s">
        <v>680</v>
      </c>
      <c r="D156" s="153"/>
      <c r="E156" s="710"/>
      <c r="F156" s="690"/>
      <c r="G156" s="690"/>
      <c r="H156" s="585"/>
      <c r="I156" s="585"/>
      <c r="J156" s="585"/>
      <c r="K156" s="585"/>
      <c r="L156" s="585"/>
      <c r="M156" s="175"/>
      <c r="N156" s="175"/>
      <c r="O156" s="175"/>
      <c r="P156" s="586"/>
      <c r="Q156" s="69"/>
      <c r="R156" s="69"/>
      <c r="S156" s="69"/>
      <c r="T156" s="903"/>
      <c r="U156" s="205"/>
      <c r="Y156" s="189"/>
      <c r="Z156" s="69"/>
    </row>
    <row r="157" spans="1:26">
      <c r="A157" s="156">
        <f t="shared" si="88"/>
        <v>157</v>
      </c>
      <c r="B157" s="262"/>
      <c r="C157" s="726" t="s">
        <v>677</v>
      </c>
      <c r="D157" s="153"/>
      <c r="E157" s="678">
        <v>249500</v>
      </c>
      <c r="F157" s="629">
        <v>2500</v>
      </c>
      <c r="G157" s="629">
        <v>250</v>
      </c>
      <c r="H157" s="630">
        <v>60</v>
      </c>
      <c r="I157" s="594">
        <f>MROUND(E157*(1-$E$677/100)/F157,0.05)</f>
        <v>89.800000000000011</v>
      </c>
      <c r="J157" s="595">
        <f>MROUND($E157*(1+$E$677/100)/2*$E$682/100/$G157,0.05)</f>
        <v>8.25</v>
      </c>
      <c r="K157" s="600">
        <f>MROUND($E157*(1+$E$677/100)/2*$E$678/100/$G157,0.05)</f>
        <v>57.650000000000006</v>
      </c>
      <c r="L157" s="601">
        <f t="shared" ref="L157:L159" si="89">SUM(I157:K157)</f>
        <v>155.70000000000002</v>
      </c>
      <c r="M157" s="691">
        <f>MROUND($E157*$H157/100/$F157,0.05)</f>
        <v>59.900000000000006</v>
      </c>
      <c r="N157" s="650">
        <f t="shared" ref="N157:N159" si="90">MROUND(Y157*Z157,0.05)</f>
        <v>0</v>
      </c>
      <c r="O157" s="601">
        <f t="shared" ref="O157:O159" si="91">SUM(M157:N157)</f>
        <v>59.900000000000006</v>
      </c>
      <c r="P157" s="599">
        <f t="shared" ref="P157:P159" si="92">O157+L157</f>
        <v>215.60000000000002</v>
      </c>
      <c r="Q157" s="69"/>
      <c r="R157" s="69"/>
      <c r="S157" s="69"/>
      <c r="T157" s="903"/>
      <c r="U157" s="208" t="s">
        <v>416</v>
      </c>
      <c r="V157" s="69"/>
      <c r="W157" s="69"/>
      <c r="Y157" s="189"/>
      <c r="Z157" s="69"/>
    </row>
    <row r="158" spans="1:26">
      <c r="A158" s="156">
        <f t="shared" si="88"/>
        <v>158</v>
      </c>
      <c r="B158" s="262"/>
      <c r="C158" s="726" t="s">
        <v>678</v>
      </c>
      <c r="D158" s="153"/>
      <c r="E158" s="678">
        <v>297000</v>
      </c>
      <c r="F158" s="629">
        <v>2500</v>
      </c>
      <c r="G158" s="629">
        <v>250</v>
      </c>
      <c r="H158" s="630">
        <v>60</v>
      </c>
      <c r="I158" s="594">
        <f>MROUND(E158*(1-$E$677/100)/F158,0.05)</f>
        <v>106.9</v>
      </c>
      <c r="J158" s="595">
        <f>MROUND($E158*(1+$E$677/100)/2*$E$682/100/$G158,0.05)</f>
        <v>9.8000000000000007</v>
      </c>
      <c r="K158" s="600">
        <f>MROUND($E158*(1+$E$677/100)/2*$E$678/100/$G158,0.05)</f>
        <v>68.600000000000009</v>
      </c>
      <c r="L158" s="601">
        <f t="shared" si="89"/>
        <v>185.3</v>
      </c>
      <c r="M158" s="691">
        <f>MROUND($E158*$H158/100/$F158,0.05)</f>
        <v>71.3</v>
      </c>
      <c r="N158" s="650">
        <f t="shared" si="90"/>
        <v>0</v>
      </c>
      <c r="O158" s="601">
        <f t="shared" si="91"/>
        <v>71.3</v>
      </c>
      <c r="P158" s="599">
        <f t="shared" si="92"/>
        <v>256.60000000000002</v>
      </c>
      <c r="Q158" s="69"/>
      <c r="R158" s="69"/>
      <c r="S158" s="69"/>
      <c r="T158" s="903"/>
      <c r="U158" s="208" t="s">
        <v>417</v>
      </c>
      <c r="V158" s="69"/>
      <c r="W158" s="69"/>
      <c r="Y158" s="189"/>
      <c r="Z158" s="69"/>
    </row>
    <row r="159" spans="1:26">
      <c r="A159" s="156">
        <f t="shared" si="88"/>
        <v>159</v>
      </c>
      <c r="B159" s="262"/>
      <c r="C159" s="726" t="s">
        <v>679</v>
      </c>
      <c r="D159" s="153"/>
      <c r="E159" s="678">
        <v>377750</v>
      </c>
      <c r="F159" s="629">
        <v>2500</v>
      </c>
      <c r="G159" s="629">
        <v>250</v>
      </c>
      <c r="H159" s="630">
        <v>60</v>
      </c>
      <c r="I159" s="594">
        <f>MROUND(E159*(1-$E$677/100)/F159,0.05)</f>
        <v>136</v>
      </c>
      <c r="J159" s="595">
        <f>MROUND($E159*(1+$E$677/100)/2*$E$682/100/$G159,0.05)</f>
        <v>12.450000000000001</v>
      </c>
      <c r="K159" s="600">
        <f>MROUND($E159*(1+$E$677/100)/2*$E$678/100/$G159,0.05)</f>
        <v>87.25</v>
      </c>
      <c r="L159" s="601">
        <f t="shared" si="89"/>
        <v>235.7</v>
      </c>
      <c r="M159" s="691">
        <f>MROUND($E159*$H159/100/$F159,0.05)</f>
        <v>90.65</v>
      </c>
      <c r="N159" s="650">
        <f t="shared" si="90"/>
        <v>0</v>
      </c>
      <c r="O159" s="601">
        <f t="shared" si="91"/>
        <v>90.65</v>
      </c>
      <c r="P159" s="599">
        <f t="shared" si="92"/>
        <v>326.35000000000002</v>
      </c>
      <c r="Q159" s="69"/>
      <c r="R159" s="69"/>
      <c r="S159" s="69"/>
      <c r="T159" s="903"/>
      <c r="U159" s="208" t="s">
        <v>419</v>
      </c>
      <c r="V159" s="69"/>
      <c r="W159" s="69"/>
      <c r="Y159" s="189"/>
      <c r="Z159" s="69"/>
    </row>
    <row r="160" spans="1:26">
      <c r="A160" s="156" t="str">
        <f t="shared" si="88"/>
        <v/>
      </c>
      <c r="B160" s="261"/>
      <c r="C160" s="823"/>
      <c r="D160" s="170"/>
      <c r="E160" s="563"/>
      <c r="F160" s="692"/>
      <c r="G160" s="692"/>
      <c r="H160" s="692"/>
      <c r="I160" s="605"/>
      <c r="J160" s="606"/>
      <c r="K160" s="605"/>
      <c r="L160" s="607"/>
      <c r="M160" s="608"/>
      <c r="N160" s="608"/>
      <c r="O160" s="607"/>
      <c r="P160" s="609"/>
      <c r="U160" s="207"/>
      <c r="Y160" s="189"/>
      <c r="Z160" s="69"/>
    </row>
    <row r="161" spans="1:26">
      <c r="A161" s="156" t="str">
        <f t="shared" si="88"/>
        <v/>
      </c>
      <c r="B161" s="261"/>
      <c r="C161" s="725"/>
      <c r="D161" s="153"/>
      <c r="E161" s="557"/>
      <c r="F161" s="585"/>
      <c r="G161" s="585"/>
      <c r="H161" s="585"/>
      <c r="I161" s="585"/>
      <c r="J161" s="585"/>
      <c r="K161" s="585"/>
      <c r="L161" s="585"/>
      <c r="M161" s="175"/>
      <c r="N161" s="175"/>
      <c r="O161" s="175"/>
      <c r="P161" s="585"/>
      <c r="U161" s="201"/>
      <c r="Y161" s="189"/>
      <c r="Z161" s="69"/>
    </row>
    <row r="162" spans="1:26" ht="13.5" thickBot="1">
      <c r="A162" s="183" t="str">
        <f t="shared" si="83"/>
        <v/>
      </c>
      <c r="B162" s="266">
        <f>MAX($B$8:B161)+0.01</f>
        <v>6.0799999999999983</v>
      </c>
      <c r="C162" s="819" t="s">
        <v>26</v>
      </c>
      <c r="D162" s="95"/>
      <c r="E162" s="713"/>
      <c r="F162" s="683"/>
      <c r="G162" s="683"/>
      <c r="H162" s="684"/>
      <c r="I162" s="684"/>
      <c r="J162" s="684"/>
      <c r="K162" s="684"/>
      <c r="L162" s="684"/>
      <c r="M162" s="685"/>
      <c r="N162" s="685"/>
      <c r="O162" s="685"/>
      <c r="P162" s="697" t="s">
        <v>302</v>
      </c>
      <c r="U162" s="204"/>
      <c r="Y162" s="189"/>
      <c r="Z162" s="69"/>
    </row>
    <row r="163" spans="1:26">
      <c r="A163" s="183" t="str">
        <f t="shared" si="83"/>
        <v/>
      </c>
      <c r="B163" s="262"/>
      <c r="C163" s="825"/>
      <c r="D163" s="826"/>
      <c r="E163" s="709"/>
      <c r="F163" s="687"/>
      <c r="G163" s="687"/>
      <c r="H163" s="699"/>
      <c r="I163" s="589"/>
      <c r="J163" s="589"/>
      <c r="K163" s="589"/>
      <c r="L163" s="589"/>
      <c r="M163" s="688"/>
      <c r="N163" s="688"/>
      <c r="O163" s="688"/>
      <c r="P163" s="689"/>
      <c r="Q163" s="69"/>
      <c r="R163" s="69"/>
      <c r="S163" s="69"/>
      <c r="T163" s="903"/>
      <c r="U163" s="205"/>
      <c r="V163" s="69"/>
      <c r="W163" s="69"/>
      <c r="Y163" s="189"/>
      <c r="Z163" s="69"/>
    </row>
    <row r="164" spans="1:26">
      <c r="A164" s="156" t="str">
        <f>IF(ISNUMBER(F164),ROW(),"")</f>
        <v/>
      </c>
      <c r="C164" s="822" t="s">
        <v>1052</v>
      </c>
      <c r="D164" s="167"/>
      <c r="E164" s="565"/>
      <c r="F164" s="700"/>
      <c r="G164" s="701"/>
      <c r="H164" s="641"/>
      <c r="I164" s="641"/>
      <c r="J164" s="641"/>
      <c r="K164" s="641"/>
      <c r="L164" s="641"/>
      <c r="M164" s="616"/>
      <c r="N164" s="616"/>
      <c r="O164" s="616"/>
      <c r="P164" s="644"/>
      <c r="U164" s="215" t="s">
        <v>473</v>
      </c>
      <c r="Y164" s="189"/>
      <c r="Z164" s="69"/>
    </row>
    <row r="165" spans="1:26">
      <c r="A165" s="156">
        <f>IF(ISNUMBER(E165),ROW(),"")</f>
        <v>165</v>
      </c>
      <c r="C165" s="821" t="s">
        <v>1043</v>
      </c>
      <c r="D165" s="167"/>
      <c r="E165" s="678">
        <v>274500</v>
      </c>
      <c r="F165" s="629">
        <v>2500</v>
      </c>
      <c r="G165" s="629">
        <v>250</v>
      </c>
      <c r="H165" s="630">
        <v>60</v>
      </c>
      <c r="I165" s="594">
        <f t="shared" ref="I165:I174" si="93">MROUND(E165*(1-$E$677/100)/F165,0.05)</f>
        <v>98.800000000000011</v>
      </c>
      <c r="J165" s="595">
        <f t="shared" ref="J165:J174" si="94">MROUND($E165*(1+$E$677/100)/2*$E$682/100/$G165,0.05)</f>
        <v>9.0500000000000007</v>
      </c>
      <c r="K165" s="600">
        <f t="shared" ref="K165:K174" si="95">MROUND($E165*(1+$E$677/100)/2*$E$678/100/$G165,0.05)</f>
        <v>63.400000000000006</v>
      </c>
      <c r="L165" s="601">
        <f t="shared" ref="L165:L174" si="96">SUM(I165:K165)</f>
        <v>171.25</v>
      </c>
      <c r="M165" s="691">
        <f t="shared" ref="M165:M174" si="97">MROUND($E165*$H165/100/$F165,0.05)</f>
        <v>65.900000000000006</v>
      </c>
      <c r="N165" s="650">
        <f t="shared" ref="N165:N174" si="98">MROUND(Y165*Z165,0.05)</f>
        <v>0</v>
      </c>
      <c r="O165" s="601">
        <f t="shared" ref="O165:O174" si="99">SUM(M165:N165)</f>
        <v>65.900000000000006</v>
      </c>
      <c r="P165" s="599">
        <f t="shared" ref="P165:P174" si="100">O165+L165</f>
        <v>237.15</v>
      </c>
      <c r="U165" s="208" t="s">
        <v>438</v>
      </c>
      <c r="Y165" s="189"/>
      <c r="Z165" s="69"/>
    </row>
    <row r="166" spans="1:26">
      <c r="A166" s="156">
        <f t="shared" ref="A166:A190" si="101">IF(ISNUMBER(E166),ROW(),"")</f>
        <v>166</v>
      </c>
      <c r="C166" s="821" t="s">
        <v>1044</v>
      </c>
      <c r="D166" s="167"/>
      <c r="E166" s="678">
        <v>308750</v>
      </c>
      <c r="F166" s="629">
        <v>2500</v>
      </c>
      <c r="G166" s="629">
        <v>250</v>
      </c>
      <c r="H166" s="630">
        <v>60</v>
      </c>
      <c r="I166" s="594">
        <f t="shared" si="93"/>
        <v>111.15</v>
      </c>
      <c r="J166" s="595">
        <f t="shared" si="94"/>
        <v>10.200000000000001</v>
      </c>
      <c r="K166" s="600">
        <f t="shared" si="95"/>
        <v>71.3</v>
      </c>
      <c r="L166" s="601">
        <f t="shared" si="96"/>
        <v>192.65</v>
      </c>
      <c r="M166" s="691">
        <f t="shared" si="97"/>
        <v>74.100000000000009</v>
      </c>
      <c r="N166" s="650">
        <f t="shared" si="98"/>
        <v>0</v>
      </c>
      <c r="O166" s="601">
        <f t="shared" si="99"/>
        <v>74.100000000000009</v>
      </c>
      <c r="P166" s="599">
        <f t="shared" si="100"/>
        <v>266.75</v>
      </c>
      <c r="U166" s="208" t="s">
        <v>420</v>
      </c>
      <c r="Y166" s="189"/>
      <c r="Z166" s="69"/>
    </row>
    <row r="167" spans="1:26">
      <c r="A167" s="156">
        <f t="shared" si="101"/>
        <v>167</v>
      </c>
      <c r="C167" s="821" t="s">
        <v>1045</v>
      </c>
      <c r="D167" s="167"/>
      <c r="E167" s="678">
        <v>325250</v>
      </c>
      <c r="F167" s="629">
        <v>2500</v>
      </c>
      <c r="G167" s="629">
        <v>250</v>
      </c>
      <c r="H167" s="630">
        <v>60</v>
      </c>
      <c r="I167" s="594">
        <f t="shared" si="93"/>
        <v>117.10000000000001</v>
      </c>
      <c r="J167" s="595">
        <f t="shared" si="94"/>
        <v>10.75</v>
      </c>
      <c r="K167" s="600">
        <f t="shared" si="95"/>
        <v>75.150000000000006</v>
      </c>
      <c r="L167" s="601">
        <f t="shared" si="96"/>
        <v>203</v>
      </c>
      <c r="M167" s="691">
        <f t="shared" si="97"/>
        <v>78.050000000000011</v>
      </c>
      <c r="N167" s="650">
        <f t="shared" si="98"/>
        <v>0</v>
      </c>
      <c r="O167" s="601">
        <f t="shared" si="99"/>
        <v>78.050000000000011</v>
      </c>
      <c r="P167" s="599">
        <f t="shared" si="100"/>
        <v>281.05</v>
      </c>
      <c r="U167" s="208" t="s">
        <v>435</v>
      </c>
      <c r="Y167" s="189"/>
      <c r="Z167" s="69"/>
    </row>
    <row r="168" spans="1:26">
      <c r="A168" s="156">
        <f t="shared" si="101"/>
        <v>168</v>
      </c>
      <c r="C168" s="821" t="s">
        <v>1046</v>
      </c>
      <c r="D168" s="167"/>
      <c r="E168" s="678">
        <v>358250</v>
      </c>
      <c r="F168" s="629">
        <v>2500</v>
      </c>
      <c r="G168" s="629">
        <v>250</v>
      </c>
      <c r="H168" s="630">
        <v>60</v>
      </c>
      <c r="I168" s="594">
        <f t="shared" si="93"/>
        <v>128.95000000000002</v>
      </c>
      <c r="J168" s="595">
        <f t="shared" si="94"/>
        <v>11.8</v>
      </c>
      <c r="K168" s="600">
        <f t="shared" si="95"/>
        <v>82.75</v>
      </c>
      <c r="L168" s="601">
        <f t="shared" si="96"/>
        <v>223.50000000000003</v>
      </c>
      <c r="M168" s="691">
        <f t="shared" si="97"/>
        <v>86</v>
      </c>
      <c r="N168" s="650">
        <f t="shared" si="98"/>
        <v>0</v>
      </c>
      <c r="O168" s="601">
        <f t="shared" si="99"/>
        <v>86</v>
      </c>
      <c r="P168" s="599">
        <f t="shared" si="100"/>
        <v>309.5</v>
      </c>
      <c r="U168" s="208" t="s">
        <v>436</v>
      </c>
      <c r="Y168" s="189"/>
      <c r="Z168" s="69"/>
    </row>
    <row r="169" spans="1:26">
      <c r="A169" s="156">
        <f t="shared" si="101"/>
        <v>169</v>
      </c>
      <c r="C169" s="821" t="s">
        <v>1047</v>
      </c>
      <c r="D169" s="167"/>
      <c r="E169" s="678">
        <v>392500</v>
      </c>
      <c r="F169" s="629">
        <v>2500</v>
      </c>
      <c r="G169" s="629">
        <v>250</v>
      </c>
      <c r="H169" s="630">
        <v>60</v>
      </c>
      <c r="I169" s="594">
        <f t="shared" si="93"/>
        <v>141.30000000000001</v>
      </c>
      <c r="J169" s="595">
        <f t="shared" si="94"/>
        <v>12.950000000000001</v>
      </c>
      <c r="K169" s="600">
        <f t="shared" si="95"/>
        <v>90.65</v>
      </c>
      <c r="L169" s="601">
        <f t="shared" si="96"/>
        <v>244.9</v>
      </c>
      <c r="M169" s="691">
        <f t="shared" si="97"/>
        <v>94.2</v>
      </c>
      <c r="N169" s="650">
        <f t="shared" si="98"/>
        <v>0</v>
      </c>
      <c r="O169" s="601">
        <f t="shared" si="99"/>
        <v>94.2</v>
      </c>
      <c r="P169" s="599">
        <f t="shared" si="100"/>
        <v>339.1</v>
      </c>
      <c r="U169" s="208" t="s">
        <v>439</v>
      </c>
      <c r="Y169" s="189"/>
      <c r="Z169" s="69"/>
    </row>
    <row r="170" spans="1:26">
      <c r="A170" s="156">
        <f t="shared" si="101"/>
        <v>170</v>
      </c>
      <c r="C170" s="821" t="s">
        <v>1048</v>
      </c>
      <c r="D170" s="167"/>
      <c r="E170" s="678">
        <v>431000</v>
      </c>
      <c r="F170" s="629">
        <v>2500</v>
      </c>
      <c r="G170" s="629">
        <v>250</v>
      </c>
      <c r="H170" s="630">
        <v>60</v>
      </c>
      <c r="I170" s="594">
        <f t="shared" si="93"/>
        <v>155.15</v>
      </c>
      <c r="J170" s="595">
        <f t="shared" si="94"/>
        <v>14.200000000000001</v>
      </c>
      <c r="K170" s="600">
        <f t="shared" si="95"/>
        <v>99.550000000000011</v>
      </c>
      <c r="L170" s="601">
        <f t="shared" si="96"/>
        <v>268.89999999999998</v>
      </c>
      <c r="M170" s="691">
        <f t="shared" si="97"/>
        <v>103.45</v>
      </c>
      <c r="N170" s="650">
        <f t="shared" si="98"/>
        <v>0</v>
      </c>
      <c r="O170" s="601">
        <f t="shared" si="99"/>
        <v>103.45</v>
      </c>
      <c r="P170" s="599">
        <f t="shared" si="100"/>
        <v>372.34999999999997</v>
      </c>
      <c r="U170" s="208" t="s">
        <v>418</v>
      </c>
      <c r="Y170" s="189"/>
      <c r="Z170" s="69"/>
    </row>
    <row r="171" spans="1:26">
      <c r="A171" s="156">
        <f t="shared" si="101"/>
        <v>171</v>
      </c>
      <c r="C171" s="821" t="s">
        <v>1049</v>
      </c>
      <c r="D171" s="167"/>
      <c r="E171" s="678">
        <v>462750</v>
      </c>
      <c r="F171" s="629">
        <v>2500</v>
      </c>
      <c r="G171" s="629">
        <v>250</v>
      </c>
      <c r="H171" s="630">
        <v>60</v>
      </c>
      <c r="I171" s="594">
        <f t="shared" si="93"/>
        <v>166.60000000000002</v>
      </c>
      <c r="J171" s="595">
        <f t="shared" si="94"/>
        <v>15.25</v>
      </c>
      <c r="K171" s="600">
        <f t="shared" si="95"/>
        <v>106.9</v>
      </c>
      <c r="L171" s="601">
        <f t="shared" si="96"/>
        <v>288.75</v>
      </c>
      <c r="M171" s="691">
        <f t="shared" si="97"/>
        <v>111.05000000000001</v>
      </c>
      <c r="N171" s="650">
        <f t="shared" si="98"/>
        <v>0</v>
      </c>
      <c r="O171" s="601">
        <f t="shared" si="99"/>
        <v>111.05000000000001</v>
      </c>
      <c r="P171" s="599">
        <f t="shared" si="100"/>
        <v>399.8</v>
      </c>
      <c r="U171" s="208" t="s">
        <v>437</v>
      </c>
      <c r="Y171" s="189"/>
      <c r="Z171" s="69"/>
    </row>
    <row r="172" spans="1:26">
      <c r="A172" s="156">
        <f t="shared" si="101"/>
        <v>172</v>
      </c>
      <c r="C172" s="821" t="s">
        <v>1050</v>
      </c>
      <c r="D172" s="167"/>
      <c r="E172" s="678">
        <v>496250</v>
      </c>
      <c r="F172" s="629">
        <v>2500</v>
      </c>
      <c r="G172" s="629">
        <v>250</v>
      </c>
      <c r="H172" s="630">
        <v>60</v>
      </c>
      <c r="I172" s="594">
        <f t="shared" si="93"/>
        <v>178.65</v>
      </c>
      <c r="J172" s="595">
        <f t="shared" si="94"/>
        <v>16.400000000000002</v>
      </c>
      <c r="K172" s="600">
        <f t="shared" si="95"/>
        <v>114.65</v>
      </c>
      <c r="L172" s="601">
        <f t="shared" si="96"/>
        <v>309.70000000000005</v>
      </c>
      <c r="M172" s="691">
        <f t="shared" si="97"/>
        <v>119.10000000000001</v>
      </c>
      <c r="N172" s="650">
        <f t="shared" si="98"/>
        <v>0</v>
      </c>
      <c r="O172" s="601">
        <f t="shared" si="99"/>
        <v>119.10000000000001</v>
      </c>
      <c r="P172" s="599">
        <f t="shared" si="100"/>
        <v>428.80000000000007</v>
      </c>
      <c r="U172" s="208" t="s">
        <v>440</v>
      </c>
      <c r="Y172" s="189"/>
      <c r="Z172" s="69"/>
    </row>
    <row r="173" spans="1:26">
      <c r="A173" s="156">
        <f t="shared" si="101"/>
        <v>173</v>
      </c>
      <c r="C173" s="821" t="s">
        <v>1051</v>
      </c>
      <c r="D173" s="167"/>
      <c r="E173" s="678">
        <v>566000</v>
      </c>
      <c r="F173" s="629">
        <v>2500</v>
      </c>
      <c r="G173" s="629">
        <v>250</v>
      </c>
      <c r="H173" s="630">
        <v>60</v>
      </c>
      <c r="I173" s="594">
        <f t="shared" si="93"/>
        <v>203.75</v>
      </c>
      <c r="J173" s="595">
        <f t="shared" si="94"/>
        <v>18.7</v>
      </c>
      <c r="K173" s="600">
        <f t="shared" si="95"/>
        <v>130.75</v>
      </c>
      <c r="L173" s="601">
        <f t="shared" si="96"/>
        <v>353.2</v>
      </c>
      <c r="M173" s="691">
        <f t="shared" si="97"/>
        <v>135.85</v>
      </c>
      <c r="N173" s="650">
        <f t="shared" si="98"/>
        <v>0</v>
      </c>
      <c r="O173" s="601">
        <f t="shared" si="99"/>
        <v>135.85</v>
      </c>
      <c r="P173" s="599">
        <f t="shared" si="100"/>
        <v>489.04999999999995</v>
      </c>
      <c r="U173" s="208" t="s">
        <v>441</v>
      </c>
      <c r="Y173" s="189"/>
      <c r="Z173" s="69"/>
    </row>
    <row r="174" spans="1:26">
      <c r="A174" s="156">
        <f t="shared" si="101"/>
        <v>174</v>
      </c>
      <c r="C174" s="821" t="s">
        <v>1195</v>
      </c>
      <c r="D174" s="167"/>
      <c r="E174" s="678">
        <v>656000</v>
      </c>
      <c r="F174" s="629">
        <v>2500</v>
      </c>
      <c r="G174" s="629">
        <v>250</v>
      </c>
      <c r="H174" s="630">
        <v>60</v>
      </c>
      <c r="I174" s="594">
        <f t="shared" si="93"/>
        <v>236.15</v>
      </c>
      <c r="J174" s="595">
        <f t="shared" si="94"/>
        <v>21.650000000000002</v>
      </c>
      <c r="K174" s="600">
        <f t="shared" si="95"/>
        <v>151.55000000000001</v>
      </c>
      <c r="L174" s="601">
        <f t="shared" si="96"/>
        <v>409.35</v>
      </c>
      <c r="M174" s="691">
        <f t="shared" si="97"/>
        <v>157.45000000000002</v>
      </c>
      <c r="N174" s="650">
        <f t="shared" si="98"/>
        <v>0</v>
      </c>
      <c r="O174" s="601">
        <f t="shared" si="99"/>
        <v>157.45000000000002</v>
      </c>
      <c r="P174" s="599">
        <f t="shared" si="100"/>
        <v>566.80000000000007</v>
      </c>
      <c r="U174" s="208" t="s">
        <v>442</v>
      </c>
      <c r="Y174" s="189"/>
      <c r="Z174" s="69"/>
    </row>
    <row r="175" spans="1:26">
      <c r="A175" s="156" t="str">
        <f t="shared" si="101"/>
        <v/>
      </c>
      <c r="C175" s="823"/>
      <c r="D175" s="170"/>
      <c r="E175" s="563"/>
      <c r="F175" s="692"/>
      <c r="G175" s="692"/>
      <c r="H175" s="692"/>
      <c r="I175" s="605"/>
      <c r="J175" s="606"/>
      <c r="K175" s="605"/>
      <c r="L175" s="607"/>
      <c r="M175" s="608"/>
      <c r="N175" s="608"/>
      <c r="O175" s="607"/>
      <c r="P175" s="609"/>
      <c r="U175" s="207"/>
      <c r="Y175" s="189"/>
      <c r="Z175" s="69"/>
    </row>
    <row r="176" spans="1:26">
      <c r="A176" s="156" t="str">
        <f t="shared" si="101"/>
        <v/>
      </c>
      <c r="B176" s="263"/>
      <c r="C176" s="828"/>
      <c r="D176" s="829"/>
      <c r="E176" s="564"/>
      <c r="F176" s="174"/>
      <c r="G176" s="174"/>
      <c r="H176" s="174"/>
      <c r="I176" s="174"/>
      <c r="J176" s="174"/>
      <c r="K176" s="174"/>
      <c r="L176" s="174"/>
      <c r="M176" s="174"/>
      <c r="N176" s="174"/>
      <c r="O176" s="174"/>
      <c r="P176" s="174"/>
      <c r="Q176" s="155"/>
      <c r="R176" s="183"/>
      <c r="S176" s="310"/>
      <c r="T176" s="904"/>
      <c r="U176" s="203"/>
      <c r="V176" s="183"/>
      <c r="W176" s="183"/>
      <c r="Y176" s="189"/>
      <c r="Z176" s="69"/>
    </row>
    <row r="177" spans="1:26" ht="13.5" thickBot="1">
      <c r="A177" s="183" t="str">
        <f t="shared" si="101"/>
        <v/>
      </c>
      <c r="B177" s="266">
        <f>MAX($B$8:B176)+0.01</f>
        <v>6.0899999999999981</v>
      </c>
      <c r="C177" s="824" t="s">
        <v>432</v>
      </c>
      <c r="D177" s="95"/>
      <c r="E177" s="713"/>
      <c r="F177" s="683"/>
      <c r="G177" s="683"/>
      <c r="H177" s="684"/>
      <c r="I177" s="684"/>
      <c r="J177" s="684"/>
      <c r="K177" s="684"/>
      <c r="L177" s="684"/>
      <c r="M177" s="685"/>
      <c r="N177" s="685"/>
      <c r="O177" s="685"/>
      <c r="P177" s="697" t="s">
        <v>433</v>
      </c>
      <c r="U177" s="204"/>
      <c r="Y177" s="217"/>
      <c r="Z177" s="69"/>
    </row>
    <row r="178" spans="1:26">
      <c r="A178" s="183" t="str">
        <f t="shared" si="101"/>
        <v/>
      </c>
      <c r="B178" s="262"/>
      <c r="C178" s="825"/>
      <c r="D178" s="826"/>
      <c r="E178" s="709"/>
      <c r="F178" s="687"/>
      <c r="G178" s="687"/>
      <c r="H178" s="589"/>
      <c r="I178" s="589"/>
      <c r="J178" s="589"/>
      <c r="K178" s="589"/>
      <c r="L178" s="589"/>
      <c r="M178" s="688"/>
      <c r="N178" s="688"/>
      <c r="O178" s="688"/>
      <c r="P178" s="689"/>
      <c r="Q178" s="69"/>
      <c r="R178" s="69"/>
      <c r="S178" s="69"/>
      <c r="T178" s="903"/>
      <c r="U178" s="205"/>
      <c r="V178" s="69"/>
      <c r="W178" s="69"/>
      <c r="Y178" s="217"/>
      <c r="Z178" s="69"/>
    </row>
    <row r="179" spans="1:26">
      <c r="A179" s="183" t="str">
        <f t="shared" si="101"/>
        <v/>
      </c>
      <c r="B179" s="262"/>
      <c r="C179" s="822" t="s">
        <v>1053</v>
      </c>
      <c r="D179" s="153"/>
      <c r="E179" s="716"/>
      <c r="F179" s="702"/>
      <c r="G179" s="587"/>
      <c r="H179" s="629"/>
      <c r="I179" s="703"/>
      <c r="J179" s="595"/>
      <c r="K179" s="594"/>
      <c r="L179" s="596"/>
      <c r="M179" s="598"/>
      <c r="N179" s="598"/>
      <c r="O179" s="596"/>
      <c r="P179" s="599"/>
      <c r="Q179" s="69"/>
      <c r="R179" s="69"/>
      <c r="S179" s="69"/>
      <c r="T179" s="903"/>
      <c r="U179" s="215" t="s">
        <v>434</v>
      </c>
      <c r="V179" s="69"/>
      <c r="W179" s="69"/>
      <c r="Y179" s="217"/>
      <c r="Z179" s="69"/>
    </row>
    <row r="180" spans="1:26">
      <c r="A180" s="183">
        <f t="shared" si="101"/>
        <v>180</v>
      </c>
      <c r="B180" s="262"/>
      <c r="C180" s="726" t="s">
        <v>797</v>
      </c>
      <c r="D180" s="153"/>
      <c r="E180" s="678">
        <v>76000</v>
      </c>
      <c r="F180" s="629">
        <v>2500</v>
      </c>
      <c r="G180" s="629">
        <v>250</v>
      </c>
      <c r="H180" s="630">
        <v>60</v>
      </c>
      <c r="I180" s="594">
        <f t="shared" ref="I180:I188" si="102">MROUND(E180*(1-$E$677/100)/F180,0.05)</f>
        <v>27.35</v>
      </c>
      <c r="J180" s="595">
        <f t="shared" ref="J180:J188" si="103">MROUND($E180*(1+$E$677/100)/2*$E$682/100/$G180,0.05)</f>
        <v>2.5</v>
      </c>
      <c r="K180" s="600">
        <f t="shared" ref="K180:K188" si="104">MROUND($E180*(1+$E$677/100)/2*$E$678/100/$G180,0.05)</f>
        <v>17.55</v>
      </c>
      <c r="L180" s="601">
        <f t="shared" ref="L180:L187" si="105">SUM(I180:K180)</f>
        <v>47.400000000000006</v>
      </c>
      <c r="M180" s="691">
        <f t="shared" ref="M180:M188" si="106">MROUND($E180*$H180/100/$F180,0.05)</f>
        <v>18.25</v>
      </c>
      <c r="N180" s="650">
        <f t="shared" ref="N180:N187" si="107">MROUND(Y180*Z180,0.05)</f>
        <v>0</v>
      </c>
      <c r="O180" s="601">
        <f t="shared" ref="O180:O187" si="108">SUM(M180:N180)</f>
        <v>18.25</v>
      </c>
      <c r="P180" s="599">
        <f t="shared" ref="P180:P187" si="109">O180+L180</f>
        <v>65.650000000000006</v>
      </c>
      <c r="Q180" s="69"/>
      <c r="R180" s="69"/>
      <c r="S180" s="69"/>
      <c r="T180" s="903"/>
      <c r="U180" s="208">
        <f>3.5*14</f>
        <v>49</v>
      </c>
      <c r="V180" s="69"/>
      <c r="W180" s="69"/>
      <c r="Y180" s="217"/>
      <c r="Z180" s="69"/>
    </row>
    <row r="181" spans="1:26">
      <c r="A181" s="183">
        <f t="shared" si="101"/>
        <v>181</v>
      </c>
      <c r="B181" s="262"/>
      <c r="C181" s="726" t="s">
        <v>798</v>
      </c>
      <c r="D181" s="153"/>
      <c r="E181" s="678">
        <v>84000</v>
      </c>
      <c r="F181" s="629">
        <v>2500</v>
      </c>
      <c r="G181" s="629">
        <v>250</v>
      </c>
      <c r="H181" s="630">
        <v>60</v>
      </c>
      <c r="I181" s="594">
        <f t="shared" si="102"/>
        <v>30.25</v>
      </c>
      <c r="J181" s="595">
        <f t="shared" si="103"/>
        <v>2.75</v>
      </c>
      <c r="K181" s="600">
        <f t="shared" si="104"/>
        <v>19.400000000000002</v>
      </c>
      <c r="L181" s="601">
        <f t="shared" si="105"/>
        <v>52.400000000000006</v>
      </c>
      <c r="M181" s="691">
        <f t="shared" si="106"/>
        <v>20.150000000000002</v>
      </c>
      <c r="N181" s="650">
        <f t="shared" si="107"/>
        <v>0</v>
      </c>
      <c r="O181" s="601">
        <f t="shared" si="108"/>
        <v>20.150000000000002</v>
      </c>
      <c r="P181" s="599">
        <f t="shared" si="109"/>
        <v>72.550000000000011</v>
      </c>
      <c r="Q181" s="69"/>
      <c r="R181" s="69"/>
      <c r="S181" s="69"/>
      <c r="T181" s="903"/>
      <c r="U181" s="208">
        <f>3.5*16</f>
        <v>56</v>
      </c>
      <c r="V181" s="69"/>
      <c r="W181" s="69"/>
      <c r="Y181" s="217"/>
      <c r="Z181" s="69"/>
    </row>
    <row r="182" spans="1:26">
      <c r="A182" s="183">
        <f t="shared" si="101"/>
        <v>182</v>
      </c>
      <c r="B182" s="262"/>
      <c r="C182" s="726" t="s">
        <v>799</v>
      </c>
      <c r="D182" s="153"/>
      <c r="E182" s="678">
        <v>115000</v>
      </c>
      <c r="F182" s="629">
        <v>2500</v>
      </c>
      <c r="G182" s="629">
        <v>250</v>
      </c>
      <c r="H182" s="630">
        <v>60</v>
      </c>
      <c r="I182" s="594">
        <f t="shared" si="102"/>
        <v>41.400000000000006</v>
      </c>
      <c r="J182" s="595">
        <f t="shared" si="103"/>
        <v>3.8000000000000003</v>
      </c>
      <c r="K182" s="600">
        <f t="shared" si="104"/>
        <v>26.55</v>
      </c>
      <c r="L182" s="601">
        <f t="shared" si="105"/>
        <v>71.75</v>
      </c>
      <c r="M182" s="691">
        <f t="shared" si="106"/>
        <v>27.6</v>
      </c>
      <c r="N182" s="650">
        <f t="shared" si="107"/>
        <v>0</v>
      </c>
      <c r="O182" s="601">
        <f t="shared" si="108"/>
        <v>27.6</v>
      </c>
      <c r="P182" s="599">
        <f t="shared" si="109"/>
        <v>99.35</v>
      </c>
      <c r="Q182" s="69"/>
      <c r="R182" s="69"/>
      <c r="S182" s="69"/>
      <c r="T182" s="903"/>
      <c r="U182" s="208">
        <f>3.5*18</f>
        <v>63</v>
      </c>
      <c r="V182" s="69"/>
      <c r="W182" s="69"/>
      <c r="Y182" s="217"/>
      <c r="Z182" s="69"/>
    </row>
    <row r="183" spans="1:26">
      <c r="A183" s="183">
        <f t="shared" si="101"/>
        <v>183</v>
      </c>
      <c r="B183" s="262"/>
      <c r="C183" s="726" t="s">
        <v>800</v>
      </c>
      <c r="D183" s="153"/>
      <c r="E183" s="678">
        <v>132750</v>
      </c>
      <c r="F183" s="629">
        <v>2500</v>
      </c>
      <c r="G183" s="629">
        <v>250</v>
      </c>
      <c r="H183" s="630">
        <v>60</v>
      </c>
      <c r="I183" s="594">
        <f t="shared" si="102"/>
        <v>47.800000000000004</v>
      </c>
      <c r="J183" s="595">
        <f t="shared" si="103"/>
        <v>4.4000000000000004</v>
      </c>
      <c r="K183" s="600">
        <f t="shared" si="104"/>
        <v>30.650000000000002</v>
      </c>
      <c r="L183" s="601">
        <f t="shared" si="105"/>
        <v>82.850000000000009</v>
      </c>
      <c r="M183" s="691">
        <f t="shared" si="106"/>
        <v>31.85</v>
      </c>
      <c r="N183" s="650">
        <f t="shared" si="107"/>
        <v>0</v>
      </c>
      <c r="O183" s="601">
        <f t="shared" si="108"/>
        <v>31.85</v>
      </c>
      <c r="P183" s="599">
        <f t="shared" si="109"/>
        <v>114.70000000000002</v>
      </c>
      <c r="Q183" s="69"/>
      <c r="R183" s="69"/>
      <c r="S183" s="69"/>
      <c r="T183" s="903"/>
      <c r="U183" s="208">
        <f>3.5*22</f>
        <v>77</v>
      </c>
      <c r="V183" s="69"/>
      <c r="W183" s="69"/>
      <c r="Y183" s="217"/>
      <c r="Z183" s="69"/>
    </row>
    <row r="184" spans="1:26">
      <c r="A184" s="183">
        <f t="shared" si="101"/>
        <v>184</v>
      </c>
      <c r="B184" s="262"/>
      <c r="C184" s="726" t="s">
        <v>801</v>
      </c>
      <c r="D184" s="153"/>
      <c r="E184" s="678">
        <v>140000</v>
      </c>
      <c r="F184" s="629">
        <v>2500</v>
      </c>
      <c r="G184" s="629">
        <v>250</v>
      </c>
      <c r="H184" s="630">
        <v>60</v>
      </c>
      <c r="I184" s="594">
        <f t="shared" si="102"/>
        <v>50.400000000000006</v>
      </c>
      <c r="J184" s="595">
        <f t="shared" si="103"/>
        <v>4.6000000000000005</v>
      </c>
      <c r="K184" s="600">
        <f t="shared" si="104"/>
        <v>32.35</v>
      </c>
      <c r="L184" s="601">
        <f t="shared" si="105"/>
        <v>87.350000000000009</v>
      </c>
      <c r="M184" s="691">
        <f t="shared" si="106"/>
        <v>33.6</v>
      </c>
      <c r="N184" s="650">
        <f t="shared" si="107"/>
        <v>0</v>
      </c>
      <c r="O184" s="601">
        <f t="shared" si="108"/>
        <v>33.6</v>
      </c>
      <c r="P184" s="599">
        <f t="shared" si="109"/>
        <v>120.95000000000002</v>
      </c>
      <c r="Q184" s="69"/>
      <c r="R184" s="69"/>
      <c r="S184" s="69"/>
      <c r="T184" s="903"/>
      <c r="U184" s="208">
        <f>3.5*26</f>
        <v>91</v>
      </c>
      <c r="V184" s="69"/>
      <c r="W184" s="69"/>
      <c r="Y184" s="217"/>
      <c r="Z184" s="69"/>
    </row>
    <row r="185" spans="1:26">
      <c r="A185" s="183">
        <f t="shared" si="101"/>
        <v>185</v>
      </c>
      <c r="B185" s="262"/>
      <c r="C185" s="726" t="s">
        <v>802</v>
      </c>
      <c r="D185" s="153"/>
      <c r="E185" s="678">
        <v>147250</v>
      </c>
      <c r="F185" s="629">
        <v>2500</v>
      </c>
      <c r="G185" s="629">
        <v>250</v>
      </c>
      <c r="H185" s="630">
        <v>60</v>
      </c>
      <c r="I185" s="594">
        <f t="shared" si="102"/>
        <v>53</v>
      </c>
      <c r="J185" s="595">
        <f t="shared" si="103"/>
        <v>4.8500000000000005</v>
      </c>
      <c r="K185" s="600">
        <f t="shared" si="104"/>
        <v>34</v>
      </c>
      <c r="L185" s="601">
        <f t="shared" si="105"/>
        <v>91.85</v>
      </c>
      <c r="M185" s="691">
        <f t="shared" si="106"/>
        <v>35.35</v>
      </c>
      <c r="N185" s="650">
        <f t="shared" si="107"/>
        <v>0</v>
      </c>
      <c r="O185" s="601">
        <f t="shared" si="108"/>
        <v>35.35</v>
      </c>
      <c r="P185" s="599">
        <f t="shared" si="109"/>
        <v>127.19999999999999</v>
      </c>
      <c r="Q185" s="69"/>
      <c r="R185" s="69"/>
      <c r="S185" s="69"/>
      <c r="T185" s="903"/>
      <c r="U185" s="208">
        <f>3.5*30</f>
        <v>105</v>
      </c>
      <c r="V185" s="69"/>
      <c r="W185" s="69"/>
      <c r="Y185" s="217"/>
      <c r="Z185" s="69"/>
    </row>
    <row r="186" spans="1:26">
      <c r="A186" s="183">
        <f t="shared" si="101"/>
        <v>186</v>
      </c>
      <c r="B186" s="262"/>
      <c r="C186" s="726" t="s">
        <v>803</v>
      </c>
      <c r="D186" s="153"/>
      <c r="E186" s="678">
        <v>176750</v>
      </c>
      <c r="F186" s="629">
        <v>2500</v>
      </c>
      <c r="G186" s="629">
        <v>250</v>
      </c>
      <c r="H186" s="630">
        <v>60</v>
      </c>
      <c r="I186" s="594">
        <f t="shared" si="102"/>
        <v>63.650000000000006</v>
      </c>
      <c r="J186" s="595">
        <f t="shared" si="103"/>
        <v>5.8500000000000005</v>
      </c>
      <c r="K186" s="600">
        <f t="shared" si="104"/>
        <v>40.85</v>
      </c>
      <c r="L186" s="601">
        <f t="shared" si="105"/>
        <v>110.35</v>
      </c>
      <c r="M186" s="691">
        <f t="shared" si="106"/>
        <v>42.400000000000006</v>
      </c>
      <c r="N186" s="650">
        <f t="shared" si="107"/>
        <v>0</v>
      </c>
      <c r="O186" s="601">
        <f t="shared" si="108"/>
        <v>42.400000000000006</v>
      </c>
      <c r="P186" s="599">
        <f t="shared" si="109"/>
        <v>152.75</v>
      </c>
      <c r="Q186" s="69"/>
      <c r="R186" s="69"/>
      <c r="S186" s="69"/>
      <c r="T186" s="903"/>
      <c r="U186" s="208">
        <f>3.5*36</f>
        <v>126</v>
      </c>
      <c r="V186" s="69"/>
      <c r="W186" s="69"/>
      <c r="Y186" s="217"/>
      <c r="Z186" s="69"/>
    </row>
    <row r="187" spans="1:26">
      <c r="A187" s="183">
        <f t="shared" si="101"/>
        <v>187</v>
      </c>
      <c r="B187" s="262"/>
      <c r="C187" s="726" t="s">
        <v>804</v>
      </c>
      <c r="D187" s="153"/>
      <c r="E187" s="678">
        <v>206250</v>
      </c>
      <c r="F187" s="629">
        <v>2500</v>
      </c>
      <c r="G187" s="629">
        <v>250</v>
      </c>
      <c r="H187" s="630">
        <v>60</v>
      </c>
      <c r="I187" s="594">
        <f t="shared" si="102"/>
        <v>74.25</v>
      </c>
      <c r="J187" s="595">
        <f t="shared" si="103"/>
        <v>6.8000000000000007</v>
      </c>
      <c r="K187" s="600">
        <f t="shared" si="104"/>
        <v>47.650000000000006</v>
      </c>
      <c r="L187" s="601">
        <f t="shared" si="105"/>
        <v>128.69999999999999</v>
      </c>
      <c r="M187" s="691">
        <f t="shared" si="106"/>
        <v>49.5</v>
      </c>
      <c r="N187" s="650">
        <f t="shared" si="107"/>
        <v>0</v>
      </c>
      <c r="O187" s="601">
        <f t="shared" si="108"/>
        <v>49.5</v>
      </c>
      <c r="P187" s="599">
        <f t="shared" si="109"/>
        <v>178.2</v>
      </c>
      <c r="Q187" s="69"/>
      <c r="R187" s="69"/>
      <c r="S187" s="69"/>
      <c r="T187" s="903"/>
      <c r="U187" s="208">
        <f>3.5*42</f>
        <v>147</v>
      </c>
      <c r="V187" s="69"/>
      <c r="W187" s="69"/>
      <c r="Y187" s="217"/>
      <c r="Z187" s="69"/>
    </row>
    <row r="188" spans="1:26">
      <c r="A188" s="310">
        <f t="shared" ref="A188" si="110">IF(ISNUMBER(E188),ROW(),"")</f>
        <v>188</v>
      </c>
      <c r="B188" s="262"/>
      <c r="C188" s="726" t="s">
        <v>1500</v>
      </c>
      <c r="D188" s="153"/>
      <c r="E188" s="678">
        <v>358000</v>
      </c>
      <c r="F188" s="629">
        <v>2500</v>
      </c>
      <c r="G188" s="629">
        <v>250</v>
      </c>
      <c r="H188" s="630">
        <v>60</v>
      </c>
      <c r="I188" s="594">
        <f t="shared" si="102"/>
        <v>128.9</v>
      </c>
      <c r="J188" s="595">
        <f t="shared" si="103"/>
        <v>11.8</v>
      </c>
      <c r="K188" s="600">
        <f t="shared" si="104"/>
        <v>82.7</v>
      </c>
      <c r="L188" s="601">
        <f t="shared" ref="L188" si="111">SUM(I188:K188)</f>
        <v>223.40000000000003</v>
      </c>
      <c r="M188" s="691">
        <f t="shared" si="106"/>
        <v>85.9</v>
      </c>
      <c r="N188" s="650">
        <f t="shared" ref="N188" si="112">MROUND(Y188*Z188,0.05)</f>
        <v>0</v>
      </c>
      <c r="O188" s="601">
        <f t="shared" ref="O188" si="113">SUM(M188:N188)</f>
        <v>85.9</v>
      </c>
      <c r="P188" s="599">
        <f t="shared" ref="P188" si="114">O188+L188</f>
        <v>309.30000000000007</v>
      </c>
      <c r="Q188" s="69"/>
      <c r="R188" s="69"/>
      <c r="S188" s="69"/>
      <c r="T188" s="903"/>
      <c r="U188" s="208">
        <f>3.5*42</f>
        <v>147</v>
      </c>
      <c r="V188" s="69"/>
      <c r="W188" s="69"/>
      <c r="Y188" s="772"/>
      <c r="Z188" s="69"/>
    </row>
    <row r="189" spans="1:26">
      <c r="A189" s="183" t="str">
        <f t="shared" si="101"/>
        <v/>
      </c>
      <c r="C189" s="823"/>
      <c r="D189" s="170"/>
      <c r="E189" s="563"/>
      <c r="F189" s="692"/>
      <c r="G189" s="692"/>
      <c r="H189" s="692"/>
      <c r="I189" s="605"/>
      <c r="J189" s="606"/>
      <c r="K189" s="605"/>
      <c r="L189" s="607"/>
      <c r="M189" s="608"/>
      <c r="N189" s="608"/>
      <c r="O189" s="607"/>
      <c r="P189" s="609"/>
      <c r="U189" s="207"/>
      <c r="Y189" s="217"/>
      <c r="Z189" s="69"/>
    </row>
    <row r="190" spans="1:26">
      <c r="A190" s="183" t="str">
        <f t="shared" si="101"/>
        <v/>
      </c>
      <c r="B190" s="263"/>
      <c r="C190" s="828"/>
      <c r="D190" s="829"/>
      <c r="E190" s="564"/>
      <c r="F190" s="174"/>
      <c r="G190" s="174"/>
      <c r="H190" s="174"/>
      <c r="I190" s="174"/>
      <c r="J190" s="174"/>
      <c r="K190" s="174"/>
      <c r="L190" s="174"/>
      <c r="M190" s="174"/>
      <c r="N190" s="174"/>
      <c r="O190" s="174"/>
      <c r="P190" s="174"/>
      <c r="Q190" s="183"/>
      <c r="R190" s="183"/>
      <c r="S190" s="310"/>
      <c r="T190" s="904"/>
      <c r="U190" s="203"/>
      <c r="V190" s="183"/>
      <c r="W190" s="183"/>
      <c r="Y190" s="217"/>
      <c r="Z190" s="69"/>
    </row>
    <row r="191" spans="1:26">
      <c r="A191" s="156" t="str">
        <f t="shared" ref="A191:A227" si="115">IF(ISNUMBER(E191),ROW(),"")</f>
        <v/>
      </c>
      <c r="B191" s="263"/>
      <c r="C191" s="828"/>
      <c r="D191" s="829"/>
      <c r="E191" s="564"/>
      <c r="F191" s="174"/>
      <c r="G191" s="174"/>
      <c r="H191" s="174"/>
      <c r="I191" s="174"/>
      <c r="J191" s="174"/>
      <c r="K191" s="174"/>
      <c r="L191" s="174"/>
      <c r="M191" s="174"/>
      <c r="N191" s="174"/>
      <c r="O191" s="174"/>
      <c r="P191" s="174"/>
      <c r="Q191" s="155"/>
      <c r="R191" s="183"/>
      <c r="S191" s="310"/>
      <c r="T191" s="904"/>
      <c r="U191" s="203"/>
      <c r="V191" s="183"/>
      <c r="W191" s="183"/>
      <c r="Y191" s="189"/>
    </row>
    <row r="192" spans="1:26" s="452" customFormat="1" ht="23.25" customHeight="1" thickBot="1">
      <c r="A192" s="31" t="str">
        <f t="shared" si="115"/>
        <v/>
      </c>
      <c r="B192" s="287">
        <f>ROUNDDOWN(MAX($B$8:B191),0)+1</f>
        <v>7</v>
      </c>
      <c r="C192" s="724" t="s">
        <v>464</v>
      </c>
      <c r="D192" s="301"/>
      <c r="E192" s="558"/>
      <c r="F192" s="297"/>
      <c r="G192" s="297"/>
      <c r="H192" s="297"/>
      <c r="I192" s="579"/>
      <c r="J192" s="579"/>
      <c r="K192" s="579"/>
      <c r="L192" s="579"/>
      <c r="M192" s="298"/>
      <c r="N192" s="298"/>
      <c r="O192" s="298"/>
      <c r="P192" s="299" t="s">
        <v>305</v>
      </c>
      <c r="Q192" s="158"/>
      <c r="R192" s="158"/>
      <c r="S192" s="158"/>
      <c r="T192" s="902"/>
      <c r="U192" s="305"/>
      <c r="V192" s="158"/>
      <c r="W192" s="158"/>
      <c r="X192" s="159"/>
      <c r="Y192" s="160"/>
      <c r="Z192" s="161"/>
    </row>
    <row r="193" spans="1:26">
      <c r="A193" s="156" t="str">
        <f t="shared" si="115"/>
        <v/>
      </c>
      <c r="B193" s="261"/>
      <c r="C193" s="725"/>
      <c r="D193" s="153"/>
      <c r="E193" s="557"/>
      <c r="F193" s="585"/>
      <c r="G193" s="585"/>
      <c r="H193" s="585"/>
      <c r="I193" s="585"/>
      <c r="J193" s="585"/>
      <c r="K193" s="585"/>
      <c r="L193" s="585"/>
      <c r="M193" s="175"/>
      <c r="N193" s="175"/>
      <c r="O193" s="175"/>
      <c r="P193" s="585"/>
      <c r="U193" s="201"/>
      <c r="Y193" s="189"/>
    </row>
    <row r="194" spans="1:26" ht="13.5" thickBot="1">
      <c r="A194" s="156" t="str">
        <f t="shared" si="115"/>
        <v/>
      </c>
      <c r="B194" s="266">
        <f>MAX($B$8:B193)+0.01</f>
        <v>7.01</v>
      </c>
      <c r="C194" s="833" t="s">
        <v>306</v>
      </c>
      <c r="D194" s="95"/>
      <c r="E194" s="714"/>
      <c r="F194" s="693"/>
      <c r="G194" s="693"/>
      <c r="H194" s="694"/>
      <c r="I194" s="694"/>
      <c r="J194" s="694"/>
      <c r="K194" s="694"/>
      <c r="L194" s="694"/>
      <c r="M194" s="695"/>
      <c r="N194" s="695"/>
      <c r="O194" s="695"/>
      <c r="P194" s="697" t="s">
        <v>307</v>
      </c>
      <c r="U194" s="204"/>
      <c r="Y194" s="189"/>
    </row>
    <row r="195" spans="1:26">
      <c r="A195" s="156" t="str">
        <f t="shared" si="115"/>
        <v/>
      </c>
      <c r="B195" s="261"/>
      <c r="C195" s="820"/>
      <c r="D195" s="153"/>
      <c r="E195" s="710"/>
      <c r="F195" s="690"/>
      <c r="G195" s="690"/>
      <c r="H195" s="585"/>
      <c r="I195" s="585"/>
      <c r="J195" s="585"/>
      <c r="K195" s="585"/>
      <c r="L195" s="585"/>
      <c r="M195" s="175"/>
      <c r="N195" s="175"/>
      <c r="O195" s="175"/>
      <c r="P195" s="586"/>
      <c r="U195" s="205"/>
      <c r="Y195" s="189"/>
    </row>
    <row r="196" spans="1:26">
      <c r="A196" s="310"/>
      <c r="B196" s="261"/>
      <c r="C196" s="726" t="s">
        <v>735</v>
      </c>
      <c r="D196" s="153"/>
      <c r="E196" s="710"/>
      <c r="F196" s="690"/>
      <c r="G196" s="690"/>
      <c r="H196" s="585"/>
      <c r="I196" s="585"/>
      <c r="J196" s="585"/>
      <c r="K196" s="585"/>
      <c r="L196" s="585"/>
      <c r="M196" s="175"/>
      <c r="N196" s="175"/>
      <c r="O196" s="175"/>
      <c r="P196" s="586"/>
      <c r="U196" s="205"/>
      <c r="Y196" s="443"/>
    </row>
    <row r="197" spans="1:26">
      <c r="A197" s="156">
        <f t="shared" si="115"/>
        <v>197</v>
      </c>
      <c r="B197" s="262"/>
      <c r="C197" s="726" t="s">
        <v>733</v>
      </c>
      <c r="D197" s="153"/>
      <c r="E197" s="678">
        <v>12000</v>
      </c>
      <c r="F197" s="629">
        <v>1500</v>
      </c>
      <c r="G197" s="629">
        <v>150</v>
      </c>
      <c r="H197" s="630">
        <v>40</v>
      </c>
      <c r="I197" s="594">
        <f>MROUND(E197*(1-$E$677/100)/F197,0.05)</f>
        <v>7.2</v>
      </c>
      <c r="J197" s="595">
        <f>MROUND($E197*(1+$E$677/100)/2*$E$682/100/$G197,0.05)</f>
        <v>0.65</v>
      </c>
      <c r="K197" s="600">
        <f>MROUND($E197*(1+$E$677/100)/2*$E$678/100/$G197,0.05)</f>
        <v>4.6000000000000005</v>
      </c>
      <c r="L197" s="601">
        <f t="shared" ref="L197:L198" si="116">SUM(I197:K197)</f>
        <v>12.450000000000001</v>
      </c>
      <c r="M197" s="691">
        <f>MROUND($E197*$H197/100/$F197,0.05)</f>
        <v>3.2</v>
      </c>
      <c r="N197" s="650">
        <f t="shared" ref="N197:N198" si="117">MROUND(Y197*Z197,0.05)</f>
        <v>0</v>
      </c>
      <c r="O197" s="601">
        <f t="shared" ref="O197:O198" si="118">SUM(M197:N197)</f>
        <v>3.2</v>
      </c>
      <c r="P197" s="599">
        <f t="shared" ref="P197:P198" si="119">O197+L197</f>
        <v>15.650000000000002</v>
      </c>
      <c r="Q197" s="69"/>
      <c r="R197" s="69"/>
      <c r="S197" s="69"/>
      <c r="T197" s="903"/>
      <c r="U197" s="208"/>
      <c r="V197" s="69"/>
      <c r="W197" s="69"/>
      <c r="Y197" s="189"/>
    </row>
    <row r="198" spans="1:26">
      <c r="A198" s="156">
        <f t="shared" si="115"/>
        <v>198</v>
      </c>
      <c r="B198" s="262"/>
      <c r="C198" s="726" t="s">
        <v>734</v>
      </c>
      <c r="D198" s="153"/>
      <c r="E198" s="678">
        <v>14000</v>
      </c>
      <c r="F198" s="629">
        <v>1500</v>
      </c>
      <c r="G198" s="629">
        <v>150</v>
      </c>
      <c r="H198" s="630">
        <v>40</v>
      </c>
      <c r="I198" s="594">
        <f>MROUND(E198*(1-$E$677/100)/F198,0.05)</f>
        <v>8.4</v>
      </c>
      <c r="J198" s="595">
        <f>MROUND($E198*(1+$E$677/100)/2*$E$682/100/$G198,0.05)</f>
        <v>0.75</v>
      </c>
      <c r="K198" s="600">
        <f>MROUND($E198*(1+$E$677/100)/2*$E$678/100/$G198,0.05)</f>
        <v>5.4</v>
      </c>
      <c r="L198" s="601">
        <f t="shared" si="116"/>
        <v>14.55</v>
      </c>
      <c r="M198" s="691">
        <f>MROUND($E198*$H198/100/$F198,0.05)</f>
        <v>3.75</v>
      </c>
      <c r="N198" s="650">
        <f t="shared" si="117"/>
        <v>0</v>
      </c>
      <c r="O198" s="601">
        <f t="shared" si="118"/>
        <v>3.75</v>
      </c>
      <c r="P198" s="599">
        <f t="shared" si="119"/>
        <v>18.3</v>
      </c>
      <c r="Q198" s="69"/>
      <c r="R198" s="69"/>
      <c r="S198" s="69"/>
      <c r="T198" s="903"/>
      <c r="U198" s="208"/>
      <c r="V198" s="69"/>
      <c r="W198" s="69"/>
      <c r="Y198" s="189"/>
    </row>
    <row r="199" spans="1:26">
      <c r="A199" s="156" t="str">
        <f t="shared" si="115"/>
        <v/>
      </c>
      <c r="B199" s="261"/>
      <c r="C199" s="823"/>
      <c r="D199" s="170"/>
      <c r="E199" s="563"/>
      <c r="F199" s="692"/>
      <c r="G199" s="692"/>
      <c r="H199" s="692"/>
      <c r="I199" s="605"/>
      <c r="J199" s="606"/>
      <c r="K199" s="605"/>
      <c r="L199" s="607"/>
      <c r="M199" s="608"/>
      <c r="N199" s="608"/>
      <c r="O199" s="607"/>
      <c r="P199" s="609"/>
      <c r="U199" s="207"/>
      <c r="Y199" s="189"/>
    </row>
    <row r="200" spans="1:26">
      <c r="A200" s="156" t="str">
        <f t="shared" si="115"/>
        <v/>
      </c>
      <c r="B200" s="261"/>
      <c r="C200" s="725"/>
      <c r="D200" s="153"/>
      <c r="E200" s="557"/>
      <c r="F200" s="585"/>
      <c r="G200" s="585"/>
      <c r="H200" s="585"/>
      <c r="I200" s="585"/>
      <c r="J200" s="585"/>
      <c r="K200" s="585"/>
      <c r="L200" s="585"/>
      <c r="M200" s="175"/>
      <c r="N200" s="175"/>
      <c r="O200" s="175"/>
      <c r="P200" s="585"/>
      <c r="U200" s="201"/>
      <c r="Y200" s="189"/>
      <c r="Z200" s="69"/>
    </row>
    <row r="201" spans="1:26" ht="13.5" thickBot="1">
      <c r="A201" s="156" t="str">
        <f t="shared" si="115"/>
        <v/>
      </c>
      <c r="B201" s="266">
        <f>MAX($B$8:B200)+0.01</f>
        <v>7.02</v>
      </c>
      <c r="C201" s="833" t="s">
        <v>308</v>
      </c>
      <c r="D201" s="95"/>
      <c r="E201" s="714"/>
      <c r="F201" s="693"/>
      <c r="G201" s="693"/>
      <c r="H201" s="694"/>
      <c r="I201" s="694"/>
      <c r="J201" s="694"/>
      <c r="K201" s="694"/>
      <c r="L201" s="694"/>
      <c r="M201" s="695"/>
      <c r="N201" s="695"/>
      <c r="O201" s="695"/>
      <c r="P201" s="697" t="s">
        <v>309</v>
      </c>
      <c r="U201" s="204"/>
      <c r="Y201" s="189"/>
      <c r="Z201" s="69"/>
    </row>
    <row r="202" spans="1:26">
      <c r="A202" s="156" t="str">
        <f t="shared" si="115"/>
        <v/>
      </c>
      <c r="B202" s="261"/>
      <c r="C202" s="820"/>
      <c r="D202" s="153"/>
      <c r="E202" s="710"/>
      <c r="F202" s="690"/>
      <c r="G202" s="690"/>
      <c r="H202" s="585"/>
      <c r="I202" s="585"/>
      <c r="J202" s="585"/>
      <c r="K202" s="585"/>
      <c r="L202" s="585"/>
      <c r="M202" s="175"/>
      <c r="N202" s="175"/>
      <c r="O202" s="175"/>
      <c r="P202" s="586"/>
      <c r="U202" s="205"/>
      <c r="Y202" s="189"/>
      <c r="Z202" s="69"/>
    </row>
    <row r="203" spans="1:26">
      <c r="A203" s="310"/>
      <c r="B203" s="261"/>
      <c r="C203" s="726" t="s">
        <v>735</v>
      </c>
      <c r="D203" s="153"/>
      <c r="E203" s="710"/>
      <c r="F203" s="690"/>
      <c r="G203" s="690"/>
      <c r="H203" s="585"/>
      <c r="I203" s="585"/>
      <c r="J203" s="585"/>
      <c r="K203" s="585"/>
      <c r="L203" s="585"/>
      <c r="M203" s="175"/>
      <c r="N203" s="175"/>
      <c r="O203" s="175"/>
      <c r="P203" s="586"/>
      <c r="U203" s="205"/>
      <c r="Y203" s="443"/>
      <c r="Z203" s="69"/>
    </row>
    <row r="204" spans="1:26">
      <c r="A204" s="156">
        <f t="shared" si="115"/>
        <v>204</v>
      </c>
      <c r="B204" s="262"/>
      <c r="C204" s="726" t="s">
        <v>736</v>
      </c>
      <c r="D204" s="153"/>
      <c r="E204" s="678">
        <v>4000</v>
      </c>
      <c r="F204" s="629">
        <v>1500</v>
      </c>
      <c r="G204" s="629">
        <v>150</v>
      </c>
      <c r="H204" s="630">
        <v>80</v>
      </c>
      <c r="I204" s="594">
        <f t="shared" ref="I204:I212" si="120">MROUND(E204*(1-$E$677/100)/F204,0.05)</f>
        <v>2.4000000000000004</v>
      </c>
      <c r="J204" s="595">
        <f t="shared" ref="J204:J212" si="121">MROUND($E204*(1+$E$677/100)/2*$E$682/100/$G204,0.05)</f>
        <v>0.2</v>
      </c>
      <c r="K204" s="600">
        <f t="shared" ref="K204:K212" si="122">MROUND($E204*(1+$E$677/100)/2*$E$678/100/$G204,0.05)</f>
        <v>1.55</v>
      </c>
      <c r="L204" s="601">
        <f t="shared" ref="L204:L212" si="123">SUM(I204:K204)</f>
        <v>4.1500000000000004</v>
      </c>
      <c r="M204" s="691">
        <f t="shared" ref="M204:M212" si="124">MROUND($E204*$H204/100/$F204,0.05)</f>
        <v>2.15</v>
      </c>
      <c r="N204" s="650">
        <f t="shared" ref="N204:N212" si="125">MROUND(Y204*Z204,0.05)</f>
        <v>0</v>
      </c>
      <c r="O204" s="601">
        <f t="shared" ref="O204:O212" si="126">SUM(M204:N204)</f>
        <v>2.15</v>
      </c>
      <c r="P204" s="599">
        <f t="shared" ref="P204:P212" si="127">O204+L204</f>
        <v>6.3000000000000007</v>
      </c>
      <c r="Q204" s="69"/>
      <c r="R204" s="69"/>
      <c r="S204" s="69"/>
      <c r="T204" s="903"/>
      <c r="U204" s="208"/>
      <c r="V204" s="69"/>
      <c r="W204" s="69"/>
      <c r="Y204" s="189"/>
      <c r="Z204" s="69"/>
    </row>
    <row r="205" spans="1:26">
      <c r="A205" s="156">
        <f t="shared" si="115"/>
        <v>205</v>
      </c>
      <c r="B205" s="262"/>
      <c r="C205" s="726" t="s">
        <v>737</v>
      </c>
      <c r="D205" s="153"/>
      <c r="E205" s="678">
        <v>4250</v>
      </c>
      <c r="F205" s="629">
        <v>1500</v>
      </c>
      <c r="G205" s="629">
        <v>150</v>
      </c>
      <c r="H205" s="630">
        <v>80</v>
      </c>
      <c r="I205" s="594">
        <f t="shared" si="120"/>
        <v>2.5500000000000003</v>
      </c>
      <c r="J205" s="595">
        <f t="shared" si="121"/>
        <v>0.25</v>
      </c>
      <c r="K205" s="600">
        <f t="shared" si="122"/>
        <v>1.6500000000000001</v>
      </c>
      <c r="L205" s="601">
        <f t="shared" si="123"/>
        <v>4.45</v>
      </c>
      <c r="M205" s="691">
        <f t="shared" si="124"/>
        <v>2.25</v>
      </c>
      <c r="N205" s="650">
        <f t="shared" si="125"/>
        <v>0</v>
      </c>
      <c r="O205" s="601">
        <f t="shared" si="126"/>
        <v>2.25</v>
      </c>
      <c r="P205" s="599">
        <f t="shared" si="127"/>
        <v>6.7</v>
      </c>
      <c r="Q205" s="69"/>
      <c r="R205" s="69"/>
      <c r="S205" s="69"/>
      <c r="T205" s="903"/>
      <c r="U205" s="208"/>
      <c r="V205" s="69"/>
      <c r="W205" s="69"/>
      <c r="Y205" s="189"/>
      <c r="Z205" s="69"/>
    </row>
    <row r="206" spans="1:26">
      <c r="A206" s="310">
        <f t="shared" si="115"/>
        <v>206</v>
      </c>
      <c r="B206" s="262"/>
      <c r="C206" s="726" t="s">
        <v>1315</v>
      </c>
      <c r="D206" s="153"/>
      <c r="E206" s="678">
        <v>30000</v>
      </c>
      <c r="F206" s="629">
        <v>1500</v>
      </c>
      <c r="G206" s="629">
        <v>150</v>
      </c>
      <c r="H206" s="630">
        <v>80</v>
      </c>
      <c r="I206" s="594">
        <f t="shared" si="120"/>
        <v>18</v>
      </c>
      <c r="J206" s="595">
        <f t="shared" si="121"/>
        <v>1.6500000000000001</v>
      </c>
      <c r="K206" s="600">
        <f t="shared" si="122"/>
        <v>11.55</v>
      </c>
      <c r="L206" s="601">
        <f t="shared" ref="L206" si="128">SUM(I206:K206)</f>
        <v>31.2</v>
      </c>
      <c r="M206" s="691">
        <f t="shared" si="124"/>
        <v>16</v>
      </c>
      <c r="N206" s="650">
        <f t="shared" ref="N206" si="129">MROUND(Y206*Z206,0.05)</f>
        <v>0</v>
      </c>
      <c r="O206" s="601">
        <f t="shared" ref="O206" si="130">SUM(M206:N206)</f>
        <v>16</v>
      </c>
      <c r="P206" s="599">
        <f t="shared" ref="P206" si="131">O206+L206</f>
        <v>47.2</v>
      </c>
      <c r="Q206" s="69"/>
      <c r="R206" s="69"/>
      <c r="S206" s="69"/>
      <c r="T206" s="903"/>
      <c r="U206" s="208"/>
      <c r="V206" s="69"/>
      <c r="W206" s="69"/>
      <c r="Y206" s="772"/>
      <c r="Z206" s="69"/>
    </row>
    <row r="207" spans="1:26">
      <c r="A207" s="310">
        <f t="shared" ref="A207:A211" si="132">IF(ISNUMBER(E207),ROW(),"")</f>
        <v>207</v>
      </c>
      <c r="B207" s="262"/>
      <c r="C207" s="726" t="s">
        <v>1037</v>
      </c>
      <c r="D207" s="153"/>
      <c r="E207" s="678">
        <v>34000</v>
      </c>
      <c r="F207" s="629">
        <v>1500</v>
      </c>
      <c r="G207" s="629">
        <v>150</v>
      </c>
      <c r="H207" s="630">
        <v>80</v>
      </c>
      <c r="I207" s="594">
        <f t="shared" si="120"/>
        <v>20.400000000000002</v>
      </c>
      <c r="J207" s="595">
        <f t="shared" si="121"/>
        <v>1.85</v>
      </c>
      <c r="K207" s="600">
        <f t="shared" si="122"/>
        <v>13.100000000000001</v>
      </c>
      <c r="L207" s="601">
        <f t="shared" si="123"/>
        <v>35.350000000000009</v>
      </c>
      <c r="M207" s="691">
        <f t="shared" si="124"/>
        <v>18.150000000000002</v>
      </c>
      <c r="N207" s="650">
        <f t="shared" si="125"/>
        <v>0</v>
      </c>
      <c r="O207" s="601">
        <f t="shared" si="126"/>
        <v>18.150000000000002</v>
      </c>
      <c r="P207" s="599">
        <f t="shared" si="127"/>
        <v>53.500000000000014</v>
      </c>
      <c r="Q207" s="69"/>
      <c r="R207" s="69"/>
      <c r="S207" s="69"/>
      <c r="T207" s="903"/>
      <c r="U207" s="208"/>
      <c r="V207" s="69"/>
      <c r="W207" s="69"/>
      <c r="Y207" s="539"/>
      <c r="Z207" s="69"/>
    </row>
    <row r="208" spans="1:26">
      <c r="A208" s="310">
        <f t="shared" si="132"/>
        <v>208</v>
      </c>
      <c r="B208" s="262"/>
      <c r="C208" s="726" t="s">
        <v>1038</v>
      </c>
      <c r="D208" s="153"/>
      <c r="E208" s="678">
        <v>45250</v>
      </c>
      <c r="F208" s="629">
        <v>1500</v>
      </c>
      <c r="G208" s="629">
        <v>150</v>
      </c>
      <c r="H208" s="630">
        <v>80</v>
      </c>
      <c r="I208" s="594">
        <f t="shared" si="120"/>
        <v>27.150000000000002</v>
      </c>
      <c r="J208" s="595">
        <f t="shared" si="121"/>
        <v>2.5</v>
      </c>
      <c r="K208" s="600">
        <f t="shared" si="122"/>
        <v>17.400000000000002</v>
      </c>
      <c r="L208" s="601">
        <f t="shared" si="123"/>
        <v>47.050000000000004</v>
      </c>
      <c r="M208" s="691">
        <f t="shared" si="124"/>
        <v>24.150000000000002</v>
      </c>
      <c r="N208" s="650">
        <f t="shared" si="125"/>
        <v>0</v>
      </c>
      <c r="O208" s="601">
        <f t="shared" si="126"/>
        <v>24.150000000000002</v>
      </c>
      <c r="P208" s="599">
        <f t="shared" si="127"/>
        <v>71.2</v>
      </c>
      <c r="Q208" s="69"/>
      <c r="R208" s="69"/>
      <c r="S208" s="69"/>
      <c r="T208" s="903"/>
      <c r="U208" s="208"/>
      <c r="V208" s="69"/>
      <c r="W208" s="69"/>
      <c r="Y208" s="539"/>
      <c r="Z208" s="69"/>
    </row>
    <row r="209" spans="1:26">
      <c r="A209" s="310">
        <f t="shared" si="132"/>
        <v>209</v>
      </c>
      <c r="B209" s="262"/>
      <c r="C209" s="726" t="s">
        <v>1039</v>
      </c>
      <c r="D209" s="153"/>
      <c r="E209" s="678">
        <v>52000</v>
      </c>
      <c r="F209" s="629">
        <v>1500</v>
      </c>
      <c r="G209" s="629">
        <v>150</v>
      </c>
      <c r="H209" s="630">
        <v>80</v>
      </c>
      <c r="I209" s="594">
        <f t="shared" si="120"/>
        <v>31.200000000000003</v>
      </c>
      <c r="J209" s="595">
        <f t="shared" si="121"/>
        <v>2.85</v>
      </c>
      <c r="K209" s="600">
        <f t="shared" si="122"/>
        <v>20</v>
      </c>
      <c r="L209" s="601">
        <f t="shared" si="123"/>
        <v>54.050000000000004</v>
      </c>
      <c r="M209" s="691">
        <f t="shared" si="124"/>
        <v>27.75</v>
      </c>
      <c r="N209" s="650">
        <f t="shared" si="125"/>
        <v>0</v>
      </c>
      <c r="O209" s="601">
        <f t="shared" si="126"/>
        <v>27.75</v>
      </c>
      <c r="P209" s="599">
        <f t="shared" si="127"/>
        <v>81.800000000000011</v>
      </c>
      <c r="Q209" s="69"/>
      <c r="R209" s="69"/>
      <c r="S209" s="69"/>
      <c r="T209" s="903"/>
      <c r="U209" s="208"/>
      <c r="V209" s="69"/>
      <c r="W209" s="69"/>
      <c r="Y209" s="539"/>
      <c r="Z209" s="69"/>
    </row>
    <row r="210" spans="1:26">
      <c r="A210" s="310">
        <f t="shared" si="132"/>
        <v>210</v>
      </c>
      <c r="B210" s="262"/>
      <c r="C210" s="726" t="s">
        <v>1040</v>
      </c>
      <c r="D210" s="153"/>
      <c r="E210" s="678">
        <v>63250</v>
      </c>
      <c r="F210" s="629">
        <v>1500</v>
      </c>
      <c r="G210" s="629">
        <v>150</v>
      </c>
      <c r="H210" s="630">
        <v>80</v>
      </c>
      <c r="I210" s="594">
        <f t="shared" si="120"/>
        <v>37.950000000000003</v>
      </c>
      <c r="J210" s="595">
        <f t="shared" si="121"/>
        <v>3.5</v>
      </c>
      <c r="K210" s="600">
        <f t="shared" si="122"/>
        <v>24.35</v>
      </c>
      <c r="L210" s="601">
        <f t="shared" si="123"/>
        <v>65.800000000000011</v>
      </c>
      <c r="M210" s="691">
        <f t="shared" si="124"/>
        <v>33.75</v>
      </c>
      <c r="N210" s="650">
        <f t="shared" si="125"/>
        <v>0</v>
      </c>
      <c r="O210" s="601">
        <f t="shared" si="126"/>
        <v>33.75</v>
      </c>
      <c r="P210" s="599">
        <f t="shared" si="127"/>
        <v>99.550000000000011</v>
      </c>
      <c r="Q210" s="69"/>
      <c r="R210" s="69"/>
      <c r="S210" s="69"/>
      <c r="T210" s="903"/>
      <c r="U210" s="208"/>
      <c r="V210" s="69"/>
      <c r="W210" s="69"/>
      <c r="Y210" s="539"/>
      <c r="Z210" s="69"/>
    </row>
    <row r="211" spans="1:26">
      <c r="A211" s="310">
        <f t="shared" si="132"/>
        <v>211</v>
      </c>
      <c r="B211" s="262"/>
      <c r="C211" s="726" t="s">
        <v>1041</v>
      </c>
      <c r="D211" s="153"/>
      <c r="E211" s="678">
        <v>79250</v>
      </c>
      <c r="F211" s="629">
        <v>1500</v>
      </c>
      <c r="G211" s="629">
        <v>150</v>
      </c>
      <c r="H211" s="630">
        <v>80</v>
      </c>
      <c r="I211" s="594">
        <f t="shared" si="120"/>
        <v>47.550000000000004</v>
      </c>
      <c r="J211" s="595">
        <f t="shared" si="121"/>
        <v>4.3500000000000005</v>
      </c>
      <c r="K211" s="600">
        <f t="shared" si="122"/>
        <v>30.5</v>
      </c>
      <c r="L211" s="601">
        <f t="shared" si="123"/>
        <v>82.4</v>
      </c>
      <c r="M211" s="691">
        <f t="shared" si="124"/>
        <v>42.25</v>
      </c>
      <c r="N211" s="650">
        <f t="shared" si="125"/>
        <v>0</v>
      </c>
      <c r="O211" s="601">
        <f t="shared" si="126"/>
        <v>42.25</v>
      </c>
      <c r="P211" s="599">
        <f t="shared" si="127"/>
        <v>124.65</v>
      </c>
      <c r="Q211" s="69"/>
      <c r="R211" s="69"/>
      <c r="S211" s="69"/>
      <c r="T211" s="903"/>
      <c r="U211" s="208"/>
      <c r="V211" s="69"/>
      <c r="W211" s="69"/>
      <c r="Y211" s="539"/>
      <c r="Z211" s="69"/>
    </row>
    <row r="212" spans="1:26">
      <c r="A212" s="310">
        <f t="shared" ref="A212" si="133">IF(ISNUMBER(E212),ROW(),"")</f>
        <v>212</v>
      </c>
      <c r="B212" s="262"/>
      <c r="C212" s="726" t="s">
        <v>1042</v>
      </c>
      <c r="D212" s="153"/>
      <c r="E212" s="678">
        <v>96250</v>
      </c>
      <c r="F212" s="629">
        <v>1500</v>
      </c>
      <c r="G212" s="629">
        <v>150</v>
      </c>
      <c r="H212" s="630">
        <v>80</v>
      </c>
      <c r="I212" s="594">
        <f t="shared" si="120"/>
        <v>57.75</v>
      </c>
      <c r="J212" s="595">
        <f t="shared" si="121"/>
        <v>5.3000000000000007</v>
      </c>
      <c r="K212" s="600">
        <f t="shared" si="122"/>
        <v>37.050000000000004</v>
      </c>
      <c r="L212" s="601">
        <f t="shared" si="123"/>
        <v>100.1</v>
      </c>
      <c r="M212" s="691">
        <f t="shared" si="124"/>
        <v>51.35</v>
      </c>
      <c r="N212" s="650">
        <f t="shared" si="125"/>
        <v>0</v>
      </c>
      <c r="O212" s="601">
        <f t="shared" si="126"/>
        <v>51.35</v>
      </c>
      <c r="P212" s="599">
        <f t="shared" si="127"/>
        <v>151.44999999999999</v>
      </c>
      <c r="Q212" s="69"/>
      <c r="R212" s="69"/>
      <c r="S212" s="69"/>
      <c r="T212" s="903"/>
      <c r="U212" s="208"/>
      <c r="V212" s="69"/>
      <c r="W212" s="69"/>
      <c r="Y212" s="539"/>
      <c r="Z212" s="69"/>
    </row>
    <row r="213" spans="1:26">
      <c r="A213" s="156" t="str">
        <f t="shared" si="115"/>
        <v/>
      </c>
      <c r="B213" s="261"/>
      <c r="C213" s="823"/>
      <c r="D213" s="170"/>
      <c r="E213" s="563"/>
      <c r="F213" s="692"/>
      <c r="G213" s="692"/>
      <c r="H213" s="692"/>
      <c r="I213" s="605"/>
      <c r="J213" s="606"/>
      <c r="K213" s="605"/>
      <c r="L213" s="607"/>
      <c r="M213" s="608"/>
      <c r="N213" s="608"/>
      <c r="O213" s="607"/>
      <c r="P213" s="609"/>
      <c r="U213" s="207"/>
      <c r="Y213" s="189"/>
      <c r="Z213" s="69"/>
    </row>
    <row r="214" spans="1:26">
      <c r="A214" s="156" t="str">
        <f t="shared" si="115"/>
        <v/>
      </c>
      <c r="B214" s="261"/>
      <c r="C214" s="725"/>
      <c r="D214" s="153"/>
      <c r="E214" s="557"/>
      <c r="F214" s="585"/>
      <c r="G214" s="585"/>
      <c r="H214" s="585"/>
      <c r="I214" s="585"/>
      <c r="J214" s="585"/>
      <c r="K214" s="585"/>
      <c r="L214" s="585"/>
      <c r="M214" s="175"/>
      <c r="N214" s="175"/>
      <c r="O214" s="175"/>
      <c r="P214" s="585"/>
      <c r="U214" s="201"/>
      <c r="Y214" s="189"/>
      <c r="Z214" s="69"/>
    </row>
    <row r="215" spans="1:26" ht="13.5" thickBot="1">
      <c r="A215" s="156" t="str">
        <f t="shared" si="115"/>
        <v/>
      </c>
      <c r="B215" s="266">
        <f>MAX($B$8:B214)+0.01</f>
        <v>7.0299999999999994</v>
      </c>
      <c r="C215" s="834" t="s">
        <v>391</v>
      </c>
      <c r="D215" s="95"/>
      <c r="E215" s="714"/>
      <c r="F215" s="693"/>
      <c r="G215" s="693"/>
      <c r="H215" s="694"/>
      <c r="I215" s="694"/>
      <c r="J215" s="694"/>
      <c r="K215" s="694"/>
      <c r="L215" s="694"/>
      <c r="M215" s="695"/>
      <c r="N215" s="695"/>
      <c r="O215" s="695"/>
      <c r="P215" s="697" t="s">
        <v>355</v>
      </c>
      <c r="U215" s="204"/>
      <c r="Y215" s="189"/>
      <c r="Z215" s="69"/>
    </row>
    <row r="216" spans="1:26">
      <c r="A216" s="156" t="str">
        <f t="shared" si="115"/>
        <v/>
      </c>
      <c r="B216" s="261"/>
      <c r="C216" s="820"/>
      <c r="D216" s="153"/>
      <c r="E216" s="710"/>
      <c r="F216" s="690"/>
      <c r="G216" s="690"/>
      <c r="H216" s="585"/>
      <c r="I216" s="585"/>
      <c r="J216" s="585"/>
      <c r="K216" s="585"/>
      <c r="L216" s="585"/>
      <c r="M216" s="175"/>
      <c r="N216" s="175"/>
      <c r="O216" s="175"/>
      <c r="P216" s="586"/>
      <c r="U216" s="205"/>
      <c r="Y216" s="189"/>
      <c r="Z216" s="69"/>
    </row>
    <row r="217" spans="1:26">
      <c r="A217" s="310"/>
      <c r="B217" s="261"/>
      <c r="C217" s="726" t="s">
        <v>738</v>
      </c>
      <c r="D217" s="153"/>
      <c r="E217" s="710"/>
      <c r="F217" s="690"/>
      <c r="G217" s="690"/>
      <c r="H217" s="585"/>
      <c r="I217" s="585"/>
      <c r="J217" s="585"/>
      <c r="K217" s="585"/>
      <c r="L217" s="585"/>
      <c r="M217" s="175"/>
      <c r="N217" s="175"/>
      <c r="O217" s="175"/>
      <c r="P217" s="586"/>
      <c r="U217" s="205"/>
      <c r="Y217" s="443"/>
    </row>
    <row r="218" spans="1:26">
      <c r="A218" s="156">
        <f t="shared" si="115"/>
        <v>218</v>
      </c>
      <c r="B218" s="262"/>
      <c r="C218" s="726" t="s">
        <v>739</v>
      </c>
      <c r="D218" s="153"/>
      <c r="E218" s="678">
        <v>8250</v>
      </c>
      <c r="F218" s="629">
        <v>4000</v>
      </c>
      <c r="G218" s="629">
        <v>250</v>
      </c>
      <c r="H218" s="630">
        <v>100</v>
      </c>
      <c r="I218" s="594">
        <f t="shared" ref="I218:I226" si="134">MROUND(E218*(1-$E$677/100)/F218,0.05)</f>
        <v>1.85</v>
      </c>
      <c r="J218" s="595">
        <f t="shared" ref="J218:J226" si="135">MROUND($E218*(1+$E$677/100)/2*$E$682/100/$G218,0.05)</f>
        <v>0.25</v>
      </c>
      <c r="K218" s="600">
        <f t="shared" ref="K218:K226" si="136">MROUND($E218*(1+$E$677/100)/2*$E$678/100/$G218,0.05)</f>
        <v>1.9000000000000001</v>
      </c>
      <c r="L218" s="601">
        <f t="shared" ref="L218:L226" si="137">SUM(I218:K218)</f>
        <v>4</v>
      </c>
      <c r="M218" s="691">
        <f t="shared" ref="M218:M226" si="138">MROUND($E218*$H218/100/$F218,0.05)</f>
        <v>2.0500000000000003</v>
      </c>
      <c r="N218" s="650">
        <f t="shared" ref="N218:N226" si="139">MROUND(Y218*Z218,0.05)</f>
        <v>0</v>
      </c>
      <c r="O218" s="601">
        <f t="shared" ref="O218:O226" si="140">SUM(M218:N218)</f>
        <v>2.0500000000000003</v>
      </c>
      <c r="P218" s="599">
        <f t="shared" ref="P218:P226" si="141">O218+L218</f>
        <v>6.0500000000000007</v>
      </c>
      <c r="Q218" s="69"/>
      <c r="R218" s="69"/>
      <c r="S218" s="69"/>
      <c r="T218" s="903"/>
      <c r="U218" s="208">
        <v>50</v>
      </c>
      <c r="V218" s="69"/>
      <c r="W218" s="69"/>
      <c r="Y218" s="189"/>
    </row>
    <row r="219" spans="1:26">
      <c r="A219" s="156">
        <f t="shared" si="115"/>
        <v>219</v>
      </c>
      <c r="B219" s="262"/>
      <c r="C219" s="726" t="s">
        <v>740</v>
      </c>
      <c r="D219" s="153"/>
      <c r="E219" s="678">
        <v>10250</v>
      </c>
      <c r="F219" s="629">
        <v>4000</v>
      </c>
      <c r="G219" s="629">
        <v>250</v>
      </c>
      <c r="H219" s="630">
        <v>100</v>
      </c>
      <c r="I219" s="594">
        <f t="shared" si="134"/>
        <v>2.3000000000000003</v>
      </c>
      <c r="J219" s="595">
        <f t="shared" si="135"/>
        <v>0.35000000000000003</v>
      </c>
      <c r="K219" s="600">
        <f t="shared" si="136"/>
        <v>2.35</v>
      </c>
      <c r="L219" s="601">
        <f t="shared" si="137"/>
        <v>5</v>
      </c>
      <c r="M219" s="691">
        <f t="shared" si="138"/>
        <v>2.5500000000000003</v>
      </c>
      <c r="N219" s="650">
        <f t="shared" si="139"/>
        <v>0</v>
      </c>
      <c r="O219" s="601">
        <f t="shared" si="140"/>
        <v>2.5500000000000003</v>
      </c>
      <c r="P219" s="599">
        <f t="shared" si="141"/>
        <v>7.5500000000000007</v>
      </c>
      <c r="Q219" s="69"/>
      <c r="R219" s="69"/>
      <c r="S219" s="69"/>
      <c r="T219" s="903"/>
      <c r="U219" s="208">
        <v>60</v>
      </c>
      <c r="V219" s="69"/>
      <c r="W219" s="69"/>
      <c r="Y219" s="189"/>
    </row>
    <row r="220" spans="1:26">
      <c r="A220" s="156">
        <f t="shared" si="115"/>
        <v>220</v>
      </c>
      <c r="B220" s="262"/>
      <c r="C220" s="726" t="s">
        <v>741</v>
      </c>
      <c r="D220" s="153"/>
      <c r="E220" s="678">
        <v>12750</v>
      </c>
      <c r="F220" s="629">
        <v>4000</v>
      </c>
      <c r="G220" s="629">
        <v>250</v>
      </c>
      <c r="H220" s="630">
        <v>100</v>
      </c>
      <c r="I220" s="594">
        <f t="shared" si="134"/>
        <v>2.85</v>
      </c>
      <c r="J220" s="595">
        <f t="shared" si="135"/>
        <v>0.4</v>
      </c>
      <c r="K220" s="600">
        <f t="shared" si="136"/>
        <v>2.95</v>
      </c>
      <c r="L220" s="601">
        <f t="shared" si="137"/>
        <v>6.2</v>
      </c>
      <c r="M220" s="691">
        <f t="shared" si="138"/>
        <v>3.2</v>
      </c>
      <c r="N220" s="650">
        <f t="shared" si="139"/>
        <v>0</v>
      </c>
      <c r="O220" s="601">
        <f t="shared" si="140"/>
        <v>3.2</v>
      </c>
      <c r="P220" s="599">
        <f t="shared" si="141"/>
        <v>9.4</v>
      </c>
      <c r="Q220" s="69"/>
      <c r="R220" s="69"/>
      <c r="S220" s="69"/>
      <c r="T220" s="903"/>
      <c r="U220" s="208">
        <v>60</v>
      </c>
      <c r="V220" s="69"/>
      <c r="W220" s="69"/>
      <c r="Y220" s="189"/>
    </row>
    <row r="221" spans="1:26">
      <c r="A221" s="310">
        <f t="shared" ref="A221:A225" si="142">IF(ISNUMBER(E221),ROW(),"")</f>
        <v>221</v>
      </c>
      <c r="B221" s="262"/>
      <c r="C221" s="726" t="s">
        <v>1031</v>
      </c>
      <c r="D221" s="153"/>
      <c r="E221" s="678">
        <v>19750</v>
      </c>
      <c r="F221" s="629">
        <v>4000</v>
      </c>
      <c r="G221" s="629">
        <v>250</v>
      </c>
      <c r="H221" s="630">
        <v>100</v>
      </c>
      <c r="I221" s="594">
        <f t="shared" si="134"/>
        <v>4.45</v>
      </c>
      <c r="J221" s="595">
        <f t="shared" si="135"/>
        <v>0.65</v>
      </c>
      <c r="K221" s="600">
        <f t="shared" si="136"/>
        <v>4.55</v>
      </c>
      <c r="L221" s="601">
        <f t="shared" si="137"/>
        <v>9.65</v>
      </c>
      <c r="M221" s="691">
        <f t="shared" si="138"/>
        <v>4.95</v>
      </c>
      <c r="N221" s="650">
        <f t="shared" si="139"/>
        <v>0</v>
      </c>
      <c r="O221" s="601">
        <f t="shared" si="140"/>
        <v>4.95</v>
      </c>
      <c r="P221" s="599">
        <f t="shared" si="141"/>
        <v>14.600000000000001</v>
      </c>
      <c r="Q221" s="69"/>
      <c r="R221" s="69"/>
      <c r="S221" s="69"/>
      <c r="T221" s="903"/>
      <c r="U221" s="208">
        <v>60</v>
      </c>
      <c r="V221" s="69"/>
      <c r="W221" s="69"/>
      <c r="Y221" s="539"/>
    </row>
    <row r="222" spans="1:26">
      <c r="A222" s="310">
        <f t="shared" si="142"/>
        <v>222</v>
      </c>
      <c r="B222" s="262"/>
      <c r="C222" s="726" t="s">
        <v>1032</v>
      </c>
      <c r="D222" s="153"/>
      <c r="E222" s="678">
        <v>29500</v>
      </c>
      <c r="F222" s="629">
        <v>4000</v>
      </c>
      <c r="G222" s="629">
        <v>250</v>
      </c>
      <c r="H222" s="630">
        <v>100</v>
      </c>
      <c r="I222" s="594">
        <f t="shared" si="134"/>
        <v>6.65</v>
      </c>
      <c r="J222" s="595">
        <f t="shared" si="135"/>
        <v>0.95000000000000007</v>
      </c>
      <c r="K222" s="600">
        <f t="shared" si="136"/>
        <v>6.8000000000000007</v>
      </c>
      <c r="L222" s="601">
        <f t="shared" si="137"/>
        <v>14.400000000000002</v>
      </c>
      <c r="M222" s="691">
        <f t="shared" si="138"/>
        <v>7.4</v>
      </c>
      <c r="N222" s="650">
        <f t="shared" si="139"/>
        <v>0</v>
      </c>
      <c r="O222" s="601">
        <f t="shared" si="140"/>
        <v>7.4</v>
      </c>
      <c r="P222" s="599">
        <f t="shared" si="141"/>
        <v>21.800000000000004</v>
      </c>
      <c r="Q222" s="69"/>
      <c r="R222" s="69"/>
      <c r="S222" s="69"/>
      <c r="T222" s="903"/>
      <c r="U222" s="208">
        <v>60</v>
      </c>
      <c r="V222" s="69"/>
      <c r="W222" s="69"/>
      <c r="Y222" s="539"/>
    </row>
    <row r="223" spans="1:26">
      <c r="A223" s="310">
        <f t="shared" si="142"/>
        <v>223</v>
      </c>
      <c r="B223" s="262"/>
      <c r="C223" s="726" t="s">
        <v>1033</v>
      </c>
      <c r="D223" s="153"/>
      <c r="E223" s="678">
        <v>42250</v>
      </c>
      <c r="F223" s="629">
        <v>4000</v>
      </c>
      <c r="G223" s="629">
        <v>250</v>
      </c>
      <c r="H223" s="630">
        <v>100</v>
      </c>
      <c r="I223" s="594">
        <f t="shared" si="134"/>
        <v>9.5</v>
      </c>
      <c r="J223" s="595">
        <f t="shared" si="135"/>
        <v>1.4000000000000001</v>
      </c>
      <c r="K223" s="600">
        <f t="shared" si="136"/>
        <v>9.75</v>
      </c>
      <c r="L223" s="601">
        <f t="shared" si="137"/>
        <v>20.65</v>
      </c>
      <c r="M223" s="691">
        <f t="shared" si="138"/>
        <v>10.55</v>
      </c>
      <c r="N223" s="650">
        <f t="shared" si="139"/>
        <v>0</v>
      </c>
      <c r="O223" s="601">
        <f t="shared" si="140"/>
        <v>10.55</v>
      </c>
      <c r="P223" s="599">
        <f t="shared" si="141"/>
        <v>31.2</v>
      </c>
      <c r="Q223" s="69"/>
      <c r="R223" s="69"/>
      <c r="S223" s="69"/>
      <c r="T223" s="903"/>
      <c r="U223" s="208">
        <v>60</v>
      </c>
      <c r="V223" s="69"/>
      <c r="W223" s="69"/>
      <c r="Y223" s="539"/>
    </row>
    <row r="224" spans="1:26">
      <c r="A224" s="310">
        <f t="shared" si="142"/>
        <v>224</v>
      </c>
      <c r="B224" s="262"/>
      <c r="C224" s="726" t="s">
        <v>1034</v>
      </c>
      <c r="D224" s="153"/>
      <c r="E224" s="678">
        <v>62000</v>
      </c>
      <c r="F224" s="629">
        <v>4000</v>
      </c>
      <c r="G224" s="629">
        <v>250</v>
      </c>
      <c r="H224" s="630">
        <v>100</v>
      </c>
      <c r="I224" s="594">
        <f t="shared" si="134"/>
        <v>13.950000000000001</v>
      </c>
      <c r="J224" s="595">
        <f t="shared" si="135"/>
        <v>2.0500000000000003</v>
      </c>
      <c r="K224" s="600">
        <f t="shared" si="136"/>
        <v>14.3</v>
      </c>
      <c r="L224" s="601">
        <f t="shared" si="137"/>
        <v>30.3</v>
      </c>
      <c r="M224" s="691">
        <f t="shared" si="138"/>
        <v>15.5</v>
      </c>
      <c r="N224" s="650">
        <f t="shared" si="139"/>
        <v>0</v>
      </c>
      <c r="O224" s="601">
        <f t="shared" si="140"/>
        <v>15.5</v>
      </c>
      <c r="P224" s="599">
        <f t="shared" si="141"/>
        <v>45.8</v>
      </c>
      <c r="Q224" s="69"/>
      <c r="R224" s="69"/>
      <c r="S224" s="69"/>
      <c r="T224" s="903"/>
      <c r="U224" s="208">
        <v>60</v>
      </c>
      <c r="V224" s="69"/>
      <c r="W224" s="69"/>
      <c r="Y224" s="539"/>
    </row>
    <row r="225" spans="1:26">
      <c r="A225" s="310">
        <f t="shared" si="142"/>
        <v>225</v>
      </c>
      <c r="B225" s="262"/>
      <c r="C225" s="726" t="s">
        <v>1035</v>
      </c>
      <c r="D225" s="153"/>
      <c r="E225" s="678">
        <v>91500</v>
      </c>
      <c r="F225" s="629">
        <v>4000</v>
      </c>
      <c r="G225" s="629">
        <v>250</v>
      </c>
      <c r="H225" s="630">
        <v>100</v>
      </c>
      <c r="I225" s="594">
        <f t="shared" si="134"/>
        <v>20.6</v>
      </c>
      <c r="J225" s="595">
        <f t="shared" si="135"/>
        <v>3</v>
      </c>
      <c r="K225" s="600">
        <f t="shared" si="136"/>
        <v>21.150000000000002</v>
      </c>
      <c r="L225" s="601">
        <f t="shared" si="137"/>
        <v>44.75</v>
      </c>
      <c r="M225" s="691">
        <f t="shared" si="138"/>
        <v>22.900000000000002</v>
      </c>
      <c r="N225" s="650">
        <f t="shared" si="139"/>
        <v>0</v>
      </c>
      <c r="O225" s="601">
        <f t="shared" si="140"/>
        <v>22.900000000000002</v>
      </c>
      <c r="P225" s="599">
        <f t="shared" si="141"/>
        <v>67.650000000000006</v>
      </c>
      <c r="Q225" s="69"/>
      <c r="R225" s="69"/>
      <c r="S225" s="69"/>
      <c r="T225" s="903"/>
      <c r="U225" s="208">
        <v>60</v>
      </c>
      <c r="V225" s="69"/>
      <c r="W225" s="69"/>
      <c r="Y225" s="539"/>
    </row>
    <row r="226" spans="1:26">
      <c r="A226" s="310">
        <f t="shared" ref="A226" si="143">IF(ISNUMBER(E226),ROW(),"")</f>
        <v>226</v>
      </c>
      <c r="B226" s="262"/>
      <c r="C226" s="726" t="s">
        <v>1036</v>
      </c>
      <c r="D226" s="153"/>
      <c r="E226" s="678">
        <v>133750</v>
      </c>
      <c r="F226" s="629">
        <v>4000</v>
      </c>
      <c r="G226" s="629">
        <v>250</v>
      </c>
      <c r="H226" s="630">
        <v>100</v>
      </c>
      <c r="I226" s="594">
        <f t="shared" si="134"/>
        <v>30.1</v>
      </c>
      <c r="J226" s="595">
        <f t="shared" si="135"/>
        <v>4.4000000000000004</v>
      </c>
      <c r="K226" s="600">
        <f t="shared" si="136"/>
        <v>30.900000000000002</v>
      </c>
      <c r="L226" s="601">
        <f t="shared" si="137"/>
        <v>65.400000000000006</v>
      </c>
      <c r="M226" s="691">
        <f t="shared" si="138"/>
        <v>33.450000000000003</v>
      </c>
      <c r="N226" s="650">
        <f t="shared" si="139"/>
        <v>0</v>
      </c>
      <c r="O226" s="601">
        <f t="shared" si="140"/>
        <v>33.450000000000003</v>
      </c>
      <c r="P226" s="599">
        <f t="shared" si="141"/>
        <v>98.850000000000009</v>
      </c>
      <c r="Q226" s="69"/>
      <c r="R226" s="69"/>
      <c r="S226" s="69"/>
      <c r="T226" s="903"/>
      <c r="U226" s="208">
        <v>60</v>
      </c>
      <c r="V226" s="69"/>
      <c r="W226" s="69"/>
      <c r="Y226" s="539"/>
    </row>
    <row r="227" spans="1:26">
      <c r="A227" s="156" t="str">
        <f t="shared" si="115"/>
        <v/>
      </c>
      <c r="B227" s="261"/>
      <c r="C227" s="823"/>
      <c r="D227" s="170"/>
      <c r="E227" s="563"/>
      <c r="F227" s="692"/>
      <c r="G227" s="692"/>
      <c r="H227" s="692"/>
      <c r="I227" s="605"/>
      <c r="J227" s="606"/>
      <c r="K227" s="605"/>
      <c r="L227" s="607"/>
      <c r="M227" s="608"/>
      <c r="N227" s="608"/>
      <c r="O227" s="607"/>
      <c r="P227" s="609"/>
      <c r="U227" s="207"/>
      <c r="Y227" s="189"/>
    </row>
    <row r="228" spans="1:26">
      <c r="A228" s="156" t="str">
        <f t="shared" ref="A228:A229" si="144">IF(ISNUMBER(E228),ROW(),"")</f>
        <v/>
      </c>
      <c r="B228" s="261"/>
      <c r="C228" s="725"/>
      <c r="D228" s="153"/>
      <c r="E228" s="557"/>
      <c r="F228" s="585"/>
      <c r="G228" s="585"/>
      <c r="H228" s="585"/>
      <c r="I228" s="585"/>
      <c r="J228" s="585"/>
      <c r="K228" s="585"/>
      <c r="L228" s="585"/>
      <c r="M228" s="175"/>
      <c r="N228" s="175"/>
      <c r="O228" s="175"/>
      <c r="P228" s="585"/>
      <c r="U228" s="201"/>
      <c r="Y228" s="189"/>
    </row>
    <row r="229" spans="1:26">
      <c r="A229" s="156" t="str">
        <f t="shared" si="144"/>
        <v/>
      </c>
      <c r="B229" s="263"/>
      <c r="C229" s="828"/>
      <c r="D229" s="829"/>
      <c r="E229" s="564"/>
      <c r="F229" s="174"/>
      <c r="G229" s="174"/>
      <c r="H229" s="174"/>
      <c r="I229" s="174"/>
      <c r="J229" s="174"/>
      <c r="K229" s="174"/>
      <c r="L229" s="174"/>
      <c r="M229" s="174"/>
      <c r="N229" s="174"/>
      <c r="O229" s="174"/>
      <c r="P229" s="174"/>
      <c r="Q229" s="155"/>
      <c r="R229" s="183"/>
      <c r="S229" s="310"/>
      <c r="T229" s="904"/>
      <c r="U229" s="203"/>
      <c r="V229" s="183"/>
      <c r="W229" s="183"/>
      <c r="Y229" s="189"/>
    </row>
    <row r="230" spans="1:26" s="452" customFormat="1" ht="23.25" customHeight="1" thickBot="1">
      <c r="A230" s="31" t="str">
        <f t="shared" ref="A230:A231" si="145">IF(ISNUMBER(E230),ROW(),"")</f>
        <v/>
      </c>
      <c r="B230" s="287">
        <f>ROUNDDOWN(MAX($B$8:B229),0)+1</f>
        <v>8</v>
      </c>
      <c r="C230" s="724" t="s">
        <v>477</v>
      </c>
      <c r="D230" s="301"/>
      <c r="E230" s="558"/>
      <c r="F230" s="297"/>
      <c r="G230" s="297"/>
      <c r="H230" s="297"/>
      <c r="I230" s="579"/>
      <c r="J230" s="579"/>
      <c r="K230" s="579"/>
      <c r="L230" s="579"/>
      <c r="M230" s="298"/>
      <c r="N230" s="298"/>
      <c r="O230" s="298"/>
      <c r="P230" s="299"/>
      <c r="Q230" s="158"/>
      <c r="R230" s="158"/>
      <c r="S230" s="158"/>
      <c r="T230" s="902"/>
      <c r="U230" s="305"/>
      <c r="V230" s="158"/>
      <c r="W230" s="158"/>
      <c r="X230" s="159"/>
      <c r="Y230" s="160"/>
      <c r="Z230" s="161"/>
    </row>
    <row r="231" spans="1:26">
      <c r="A231" s="156" t="str">
        <f t="shared" si="145"/>
        <v/>
      </c>
      <c r="B231" s="261"/>
      <c r="C231" s="725"/>
      <c r="D231" s="153"/>
      <c r="E231" s="557"/>
      <c r="F231" s="585"/>
      <c r="G231" s="585"/>
      <c r="H231" s="585"/>
      <c r="I231" s="585"/>
      <c r="J231" s="585"/>
      <c r="K231" s="585"/>
      <c r="L231" s="585"/>
      <c r="M231" s="175"/>
      <c r="N231" s="175"/>
      <c r="O231" s="175"/>
      <c r="P231" s="585"/>
      <c r="U231" s="201"/>
      <c r="Y231" s="189"/>
    </row>
    <row r="232" spans="1:26" ht="13.5" thickBot="1">
      <c r="A232" s="156" t="str">
        <f t="shared" ref="A232:A258" si="146">IF(ISNUMBER(E232),ROW(),"")</f>
        <v/>
      </c>
      <c r="B232" s="266">
        <f>MAX($B$8:B231)+0.01</f>
        <v>8.01</v>
      </c>
      <c r="C232" s="824" t="s">
        <v>356</v>
      </c>
      <c r="D232" s="95"/>
      <c r="E232" s="713"/>
      <c r="F232" s="683"/>
      <c r="G232" s="683"/>
      <c r="H232" s="684"/>
      <c r="I232" s="684"/>
      <c r="J232" s="684"/>
      <c r="K232" s="684"/>
      <c r="L232" s="684"/>
      <c r="M232" s="685"/>
      <c r="N232" s="685"/>
      <c r="O232" s="685"/>
      <c r="P232" s="697" t="s">
        <v>357</v>
      </c>
      <c r="U232" s="204"/>
      <c r="Y232" s="189"/>
    </row>
    <row r="233" spans="1:26">
      <c r="A233" s="156" t="str">
        <f t="shared" si="146"/>
        <v/>
      </c>
      <c r="B233" s="261"/>
      <c r="C233" s="825"/>
      <c r="D233" s="826"/>
      <c r="E233" s="709"/>
      <c r="F233" s="687"/>
      <c r="G233" s="687"/>
      <c r="H233" s="589"/>
      <c r="I233" s="589"/>
      <c r="J233" s="589"/>
      <c r="K233" s="589"/>
      <c r="L233" s="589"/>
      <c r="M233" s="688"/>
      <c r="N233" s="688"/>
      <c r="O233" s="688"/>
      <c r="P233" s="689"/>
      <c r="Q233" s="69"/>
      <c r="R233" s="69"/>
      <c r="S233" s="69"/>
      <c r="T233" s="903"/>
      <c r="U233" s="205"/>
      <c r="Y233" s="189"/>
      <c r="Z233" s="69"/>
    </row>
    <row r="234" spans="1:26">
      <c r="A234" s="310"/>
      <c r="B234" s="261"/>
      <c r="C234" s="726" t="s">
        <v>1172</v>
      </c>
      <c r="D234" s="153"/>
      <c r="E234" s="710"/>
      <c r="F234" s="690"/>
      <c r="G234" s="690"/>
      <c r="H234" s="690"/>
      <c r="I234" s="690"/>
      <c r="J234" s="690"/>
      <c r="K234" s="585"/>
      <c r="L234" s="585"/>
      <c r="M234" s="175"/>
      <c r="N234" s="175"/>
      <c r="O234" s="175"/>
      <c r="P234" s="586"/>
      <c r="Q234" s="69"/>
      <c r="R234" s="69"/>
      <c r="S234" s="69"/>
      <c r="T234" s="903"/>
      <c r="U234" s="205"/>
      <c r="Y234" s="443"/>
      <c r="Z234" s="69"/>
    </row>
    <row r="235" spans="1:26">
      <c r="A235" s="310"/>
      <c r="B235" s="261"/>
      <c r="C235" s="820"/>
      <c r="D235" s="153"/>
      <c r="E235" s="710"/>
      <c r="F235" s="690"/>
      <c r="G235" s="690"/>
      <c r="H235" s="690"/>
      <c r="I235" s="690"/>
      <c r="J235" s="690"/>
      <c r="K235" s="585"/>
      <c r="L235" s="585"/>
      <c r="M235" s="175"/>
      <c r="N235" s="175"/>
      <c r="O235" s="175"/>
      <c r="P235" s="586"/>
      <c r="Q235" s="69"/>
      <c r="R235" s="69"/>
      <c r="S235" s="69"/>
      <c r="T235" s="903"/>
      <c r="U235" s="205"/>
      <c r="Y235" s="443"/>
      <c r="Z235" s="69"/>
    </row>
    <row r="236" spans="1:26">
      <c r="A236" s="156" t="str">
        <f t="shared" si="146"/>
        <v/>
      </c>
      <c r="B236" s="261"/>
      <c r="C236" s="822" t="s">
        <v>392</v>
      </c>
      <c r="D236" s="153"/>
      <c r="E236" s="710"/>
      <c r="F236" s="690"/>
      <c r="G236" s="690"/>
      <c r="H236" s="585"/>
      <c r="I236" s="585"/>
      <c r="J236" s="585"/>
      <c r="K236" s="585"/>
      <c r="L236" s="585"/>
      <c r="M236" s="175"/>
      <c r="N236" s="175"/>
      <c r="O236" s="175"/>
      <c r="P236" s="586"/>
      <c r="Q236" s="69"/>
      <c r="R236" s="69"/>
      <c r="S236" s="69"/>
      <c r="T236" s="903"/>
      <c r="U236" s="205"/>
      <c r="Y236" s="189"/>
      <c r="Z236" s="69"/>
    </row>
    <row r="237" spans="1:26">
      <c r="A237" s="156">
        <f t="shared" si="146"/>
        <v>237</v>
      </c>
      <c r="B237" s="262"/>
      <c r="C237" s="726" t="s">
        <v>806</v>
      </c>
      <c r="D237" s="153"/>
      <c r="E237" s="678">
        <v>8000</v>
      </c>
      <c r="F237" s="629">
        <v>1500</v>
      </c>
      <c r="G237" s="629">
        <v>150</v>
      </c>
      <c r="H237" s="630">
        <v>80</v>
      </c>
      <c r="I237" s="594">
        <f>MROUND(E237*(1-$E$677/100)/F237,0.05)</f>
        <v>4.8000000000000007</v>
      </c>
      <c r="J237" s="595">
        <f>MROUND($E237*(1+$E$677/100)/2*$E$682/100/$G237,0.05)</f>
        <v>0.45</v>
      </c>
      <c r="K237" s="600">
        <f>MROUND($E237*(1+$E$677/100)/2*$E$678/100/$G237,0.05)</f>
        <v>3.1</v>
      </c>
      <c r="L237" s="601">
        <f>SUM(I237:K237)</f>
        <v>8.3500000000000014</v>
      </c>
      <c r="M237" s="691">
        <f>MROUND($E237*$H237/100/$F237,0.05)</f>
        <v>4.25</v>
      </c>
      <c r="N237" s="650">
        <f>MROUND(Y237*Z237,0.05)</f>
        <v>0</v>
      </c>
      <c r="O237" s="601">
        <f>SUM(M237:N237)</f>
        <v>4.25</v>
      </c>
      <c r="P237" s="599">
        <f>O237+L237</f>
        <v>12.600000000000001</v>
      </c>
      <c r="Q237" s="69"/>
      <c r="R237" s="69"/>
      <c r="S237" s="69"/>
      <c r="T237" s="903"/>
      <c r="U237" s="208">
        <v>40</v>
      </c>
      <c r="V237" s="69"/>
      <c r="W237" s="69"/>
      <c r="Y237" s="189"/>
      <c r="Z237" s="69"/>
    </row>
    <row r="238" spans="1:26">
      <c r="A238" s="156" t="str">
        <f t="shared" si="146"/>
        <v/>
      </c>
      <c r="B238" s="261"/>
      <c r="C238" s="820"/>
      <c r="D238" s="153"/>
      <c r="E238" s="790"/>
      <c r="F238" s="690"/>
      <c r="G238" s="690"/>
      <c r="H238" s="585"/>
      <c r="I238" s="585"/>
      <c r="J238" s="585"/>
      <c r="K238" s="585"/>
      <c r="L238" s="585"/>
      <c r="M238" s="175"/>
      <c r="N238" s="175"/>
      <c r="O238" s="175"/>
      <c r="P238" s="586"/>
      <c r="Q238" s="69"/>
      <c r="R238" s="69"/>
      <c r="S238" s="69"/>
      <c r="T238" s="903"/>
      <c r="U238" s="205"/>
      <c r="Y238" s="189"/>
      <c r="Z238" s="69"/>
    </row>
    <row r="239" spans="1:26">
      <c r="A239" s="156" t="str">
        <f t="shared" si="146"/>
        <v/>
      </c>
      <c r="B239" s="261"/>
      <c r="C239" s="822" t="s">
        <v>393</v>
      </c>
      <c r="D239" s="153"/>
      <c r="E239" s="790"/>
      <c r="F239" s="690"/>
      <c r="G239" s="690"/>
      <c r="H239" s="585"/>
      <c r="I239" s="585"/>
      <c r="J239" s="585"/>
      <c r="K239" s="585"/>
      <c r="L239" s="585"/>
      <c r="M239" s="175"/>
      <c r="N239" s="175"/>
      <c r="O239" s="175"/>
      <c r="P239" s="586"/>
      <c r="Q239" s="69"/>
      <c r="R239" s="69"/>
      <c r="S239" s="69"/>
      <c r="T239" s="903"/>
      <c r="U239" s="205"/>
      <c r="Y239" s="189"/>
      <c r="Z239" s="69"/>
    </row>
    <row r="240" spans="1:26">
      <c r="A240" s="156">
        <f t="shared" si="146"/>
        <v>240</v>
      </c>
      <c r="B240" s="262"/>
      <c r="C240" s="726" t="s">
        <v>805</v>
      </c>
      <c r="D240" s="153"/>
      <c r="E240" s="678">
        <v>56500</v>
      </c>
      <c r="F240" s="629">
        <v>1500</v>
      </c>
      <c r="G240" s="629">
        <v>150</v>
      </c>
      <c r="H240" s="630">
        <v>80</v>
      </c>
      <c r="I240" s="594">
        <f t="shared" ref="I240:I250" si="147">MROUND(E240*(1-$E$677/100)/F240,0.05)</f>
        <v>33.9</v>
      </c>
      <c r="J240" s="595">
        <f t="shared" ref="J240:J250" si="148">MROUND($E240*(1+$E$677/100)/2*$E$682/100/$G240,0.05)</f>
        <v>3.1</v>
      </c>
      <c r="K240" s="600">
        <f t="shared" ref="K240:K250" si="149">MROUND($E240*(1+$E$677/100)/2*$E$678/100/$G240,0.05)</f>
        <v>21.75</v>
      </c>
      <c r="L240" s="601">
        <f t="shared" ref="L240:L250" si="150">SUM(I240:K240)</f>
        <v>58.75</v>
      </c>
      <c r="M240" s="691">
        <f t="shared" ref="M240:M250" si="151">MROUND($E240*$H240/100/$F240,0.05)</f>
        <v>30.150000000000002</v>
      </c>
      <c r="N240" s="650">
        <f t="shared" ref="N240:N250" si="152">MROUND(Y240*Z240,0.05)</f>
        <v>0</v>
      </c>
      <c r="O240" s="601">
        <f t="shared" ref="O240:O250" si="153">SUM(M240:N240)</f>
        <v>30.150000000000002</v>
      </c>
      <c r="P240" s="599">
        <f t="shared" ref="P240:P250" si="154">O240+L240</f>
        <v>88.9</v>
      </c>
      <c r="Q240" s="69"/>
      <c r="R240" s="69"/>
      <c r="S240" s="69"/>
      <c r="T240" s="903"/>
      <c r="U240" s="208">
        <v>40</v>
      </c>
      <c r="V240" s="69"/>
      <c r="W240" s="69"/>
      <c r="Y240" s="189"/>
      <c r="Z240" s="69"/>
    </row>
    <row r="241" spans="1:26">
      <c r="A241" s="156">
        <f t="shared" ref="A241:A248" si="155">IF(ISNUMBER(E241),ROW(),"")</f>
        <v>241</v>
      </c>
      <c r="B241" s="262"/>
      <c r="C241" s="726" t="s">
        <v>774</v>
      </c>
      <c r="D241" s="153"/>
      <c r="E241" s="678">
        <v>95500</v>
      </c>
      <c r="F241" s="629">
        <v>1500</v>
      </c>
      <c r="G241" s="629">
        <v>150</v>
      </c>
      <c r="H241" s="630">
        <v>80</v>
      </c>
      <c r="I241" s="594">
        <f t="shared" si="147"/>
        <v>57.300000000000004</v>
      </c>
      <c r="J241" s="595">
        <f t="shared" si="148"/>
        <v>5.25</v>
      </c>
      <c r="K241" s="600">
        <f t="shared" si="149"/>
        <v>36.75</v>
      </c>
      <c r="L241" s="601">
        <f t="shared" si="150"/>
        <v>99.300000000000011</v>
      </c>
      <c r="M241" s="691">
        <f t="shared" si="151"/>
        <v>50.95</v>
      </c>
      <c r="N241" s="650">
        <f t="shared" si="152"/>
        <v>0</v>
      </c>
      <c r="O241" s="601">
        <f t="shared" si="153"/>
        <v>50.95</v>
      </c>
      <c r="P241" s="599">
        <f t="shared" si="154"/>
        <v>150.25</v>
      </c>
      <c r="Q241" s="69"/>
      <c r="R241" s="69"/>
      <c r="S241" s="69"/>
      <c r="T241" s="903"/>
      <c r="U241" s="208">
        <v>35</v>
      </c>
      <c r="V241" s="69"/>
      <c r="W241" s="69"/>
      <c r="Y241" s="189"/>
      <c r="Z241" s="69"/>
    </row>
    <row r="242" spans="1:26">
      <c r="A242" s="156">
        <f t="shared" si="155"/>
        <v>242</v>
      </c>
      <c r="B242" s="262"/>
      <c r="C242" s="726" t="s">
        <v>775</v>
      </c>
      <c r="D242" s="153"/>
      <c r="E242" s="678">
        <v>97500</v>
      </c>
      <c r="F242" s="629">
        <v>1500</v>
      </c>
      <c r="G242" s="629">
        <v>150</v>
      </c>
      <c r="H242" s="630">
        <v>80</v>
      </c>
      <c r="I242" s="594">
        <f t="shared" si="147"/>
        <v>58.5</v>
      </c>
      <c r="J242" s="595">
        <f t="shared" si="148"/>
        <v>5.3500000000000005</v>
      </c>
      <c r="K242" s="600">
        <f t="shared" si="149"/>
        <v>37.550000000000004</v>
      </c>
      <c r="L242" s="601">
        <f t="shared" si="150"/>
        <v>101.4</v>
      </c>
      <c r="M242" s="691">
        <f t="shared" si="151"/>
        <v>52</v>
      </c>
      <c r="N242" s="650">
        <f t="shared" si="152"/>
        <v>0</v>
      </c>
      <c r="O242" s="601">
        <f t="shared" si="153"/>
        <v>52</v>
      </c>
      <c r="P242" s="599">
        <f t="shared" si="154"/>
        <v>153.4</v>
      </c>
      <c r="Q242" s="69"/>
      <c r="R242" s="69"/>
      <c r="S242" s="69"/>
      <c r="T242" s="903"/>
      <c r="U242" s="208">
        <v>37</v>
      </c>
      <c r="V242" s="69"/>
      <c r="W242" s="69"/>
      <c r="Y242" s="189"/>
      <c r="Z242" s="69"/>
    </row>
    <row r="243" spans="1:26">
      <c r="A243" s="156">
        <f t="shared" si="155"/>
        <v>243</v>
      </c>
      <c r="B243" s="262"/>
      <c r="C243" s="726" t="s">
        <v>776</v>
      </c>
      <c r="D243" s="153"/>
      <c r="E243" s="678">
        <v>120750</v>
      </c>
      <c r="F243" s="629">
        <v>1500</v>
      </c>
      <c r="G243" s="629">
        <v>150</v>
      </c>
      <c r="H243" s="630">
        <v>80</v>
      </c>
      <c r="I243" s="594">
        <f t="shared" si="147"/>
        <v>72.45</v>
      </c>
      <c r="J243" s="595">
        <f t="shared" si="148"/>
        <v>6.65</v>
      </c>
      <c r="K243" s="600">
        <f t="shared" si="149"/>
        <v>46.5</v>
      </c>
      <c r="L243" s="601">
        <f t="shared" si="150"/>
        <v>125.60000000000001</v>
      </c>
      <c r="M243" s="691">
        <f t="shared" si="151"/>
        <v>64.400000000000006</v>
      </c>
      <c r="N243" s="650">
        <f t="shared" si="152"/>
        <v>0</v>
      </c>
      <c r="O243" s="601">
        <f t="shared" si="153"/>
        <v>64.400000000000006</v>
      </c>
      <c r="P243" s="599">
        <f t="shared" si="154"/>
        <v>190</v>
      </c>
      <c r="Q243" s="69"/>
      <c r="R243" s="69"/>
      <c r="S243" s="69"/>
      <c r="T243" s="903"/>
      <c r="U243" s="208">
        <v>44</v>
      </c>
      <c r="V243" s="69"/>
      <c r="W243" s="69"/>
      <c r="Y243" s="189"/>
      <c r="Z243" s="69"/>
    </row>
    <row r="244" spans="1:26">
      <c r="A244" s="156">
        <f t="shared" si="155"/>
        <v>244</v>
      </c>
      <c r="B244" s="262"/>
      <c r="C244" s="726" t="s">
        <v>777</v>
      </c>
      <c r="D244" s="153"/>
      <c r="E244" s="678">
        <v>146000</v>
      </c>
      <c r="F244" s="629">
        <v>1500</v>
      </c>
      <c r="G244" s="629">
        <v>150</v>
      </c>
      <c r="H244" s="630">
        <v>80</v>
      </c>
      <c r="I244" s="594">
        <f t="shared" si="147"/>
        <v>87.600000000000009</v>
      </c>
      <c r="J244" s="595">
        <f t="shared" si="148"/>
        <v>8.0500000000000007</v>
      </c>
      <c r="K244" s="600">
        <f t="shared" si="149"/>
        <v>56.2</v>
      </c>
      <c r="L244" s="601">
        <f t="shared" si="150"/>
        <v>151.85000000000002</v>
      </c>
      <c r="M244" s="691">
        <f t="shared" si="151"/>
        <v>77.850000000000009</v>
      </c>
      <c r="N244" s="650">
        <f t="shared" si="152"/>
        <v>0</v>
      </c>
      <c r="O244" s="601">
        <f t="shared" si="153"/>
        <v>77.850000000000009</v>
      </c>
      <c r="P244" s="599">
        <f t="shared" si="154"/>
        <v>229.70000000000005</v>
      </c>
      <c r="Q244" s="69"/>
      <c r="R244" s="69"/>
      <c r="S244" s="69"/>
      <c r="T244" s="903"/>
      <c r="U244" s="208">
        <v>45</v>
      </c>
      <c r="V244" s="69"/>
      <c r="W244" s="69"/>
      <c r="Y244" s="189"/>
      <c r="Z244" s="69"/>
    </row>
    <row r="245" spans="1:26">
      <c r="A245" s="156">
        <f t="shared" si="155"/>
        <v>245</v>
      </c>
      <c r="B245" s="262"/>
      <c r="C245" s="726" t="s">
        <v>778</v>
      </c>
      <c r="D245" s="153"/>
      <c r="E245" s="678">
        <v>184000</v>
      </c>
      <c r="F245" s="629">
        <v>1500</v>
      </c>
      <c r="G245" s="629">
        <v>150</v>
      </c>
      <c r="H245" s="630">
        <v>80</v>
      </c>
      <c r="I245" s="594">
        <f t="shared" si="147"/>
        <v>110.4</v>
      </c>
      <c r="J245" s="595">
        <f t="shared" si="148"/>
        <v>10.100000000000001</v>
      </c>
      <c r="K245" s="600">
        <f t="shared" si="149"/>
        <v>70.850000000000009</v>
      </c>
      <c r="L245" s="601">
        <f t="shared" si="150"/>
        <v>191.35000000000002</v>
      </c>
      <c r="M245" s="691">
        <f t="shared" si="151"/>
        <v>98.15</v>
      </c>
      <c r="N245" s="650">
        <f t="shared" si="152"/>
        <v>0</v>
      </c>
      <c r="O245" s="601">
        <f t="shared" si="153"/>
        <v>98.15</v>
      </c>
      <c r="P245" s="599">
        <f t="shared" si="154"/>
        <v>289.5</v>
      </c>
      <c r="Q245" s="69"/>
      <c r="R245" s="69"/>
      <c r="S245" s="69"/>
      <c r="T245" s="903"/>
      <c r="U245" s="208">
        <v>60</v>
      </c>
      <c r="V245" s="69"/>
      <c r="W245" s="69"/>
      <c r="Y245" s="189"/>
      <c r="Z245" s="69"/>
    </row>
    <row r="246" spans="1:26">
      <c r="A246" s="156">
        <f t="shared" si="155"/>
        <v>246</v>
      </c>
      <c r="B246" s="262"/>
      <c r="C246" s="726" t="s">
        <v>779</v>
      </c>
      <c r="D246" s="153"/>
      <c r="E246" s="678">
        <v>286250</v>
      </c>
      <c r="F246" s="629">
        <v>1500</v>
      </c>
      <c r="G246" s="629">
        <v>150</v>
      </c>
      <c r="H246" s="630">
        <v>80</v>
      </c>
      <c r="I246" s="594">
        <f t="shared" si="147"/>
        <v>171.75</v>
      </c>
      <c r="J246" s="595">
        <f t="shared" si="148"/>
        <v>15.75</v>
      </c>
      <c r="K246" s="600">
        <f t="shared" si="149"/>
        <v>110.2</v>
      </c>
      <c r="L246" s="601">
        <f t="shared" si="150"/>
        <v>297.7</v>
      </c>
      <c r="M246" s="691">
        <f t="shared" si="151"/>
        <v>152.65</v>
      </c>
      <c r="N246" s="650">
        <f t="shared" si="152"/>
        <v>0</v>
      </c>
      <c r="O246" s="601">
        <f t="shared" si="153"/>
        <v>152.65</v>
      </c>
      <c r="P246" s="599">
        <f t="shared" si="154"/>
        <v>450.35</v>
      </c>
      <c r="Q246" s="69"/>
      <c r="R246" s="69"/>
      <c r="S246" s="69"/>
      <c r="T246" s="903"/>
      <c r="U246" s="208">
        <v>65</v>
      </c>
      <c r="V246" s="69"/>
      <c r="W246" s="69"/>
      <c r="Y246" s="189"/>
      <c r="Z246" s="69"/>
    </row>
    <row r="247" spans="1:26">
      <c r="A247" s="156">
        <f t="shared" si="155"/>
        <v>247</v>
      </c>
      <c r="B247" s="262"/>
      <c r="C247" s="726" t="s">
        <v>1196</v>
      </c>
      <c r="D247" s="153"/>
      <c r="E247" s="678">
        <v>388500</v>
      </c>
      <c r="F247" s="629">
        <v>1500</v>
      </c>
      <c r="G247" s="629">
        <v>150</v>
      </c>
      <c r="H247" s="630">
        <v>80</v>
      </c>
      <c r="I247" s="594">
        <f t="shared" si="147"/>
        <v>233.10000000000002</v>
      </c>
      <c r="J247" s="595">
        <f t="shared" si="148"/>
        <v>21.35</v>
      </c>
      <c r="K247" s="600">
        <f t="shared" si="149"/>
        <v>149.55000000000001</v>
      </c>
      <c r="L247" s="601">
        <f t="shared" si="150"/>
        <v>404</v>
      </c>
      <c r="M247" s="691">
        <f t="shared" si="151"/>
        <v>207.20000000000002</v>
      </c>
      <c r="N247" s="650">
        <f t="shared" si="152"/>
        <v>0</v>
      </c>
      <c r="O247" s="601">
        <f t="shared" si="153"/>
        <v>207.20000000000002</v>
      </c>
      <c r="P247" s="599">
        <f t="shared" si="154"/>
        <v>611.20000000000005</v>
      </c>
      <c r="Q247" s="69"/>
      <c r="R247" s="69"/>
      <c r="S247" s="69"/>
      <c r="T247" s="903"/>
      <c r="U247" s="208">
        <v>65</v>
      </c>
      <c r="V247" s="69"/>
      <c r="W247" s="69"/>
      <c r="Y247" s="189"/>
      <c r="Z247" s="69"/>
    </row>
    <row r="248" spans="1:26">
      <c r="A248" s="156">
        <f t="shared" si="155"/>
        <v>248</v>
      </c>
      <c r="B248" s="262"/>
      <c r="C248" s="726" t="s">
        <v>780</v>
      </c>
      <c r="D248" s="153"/>
      <c r="E248" s="678">
        <v>306500</v>
      </c>
      <c r="F248" s="629">
        <v>1500</v>
      </c>
      <c r="G248" s="629">
        <v>150</v>
      </c>
      <c r="H248" s="630">
        <v>80</v>
      </c>
      <c r="I248" s="594">
        <f t="shared" si="147"/>
        <v>183.9</v>
      </c>
      <c r="J248" s="595">
        <f t="shared" si="148"/>
        <v>16.850000000000001</v>
      </c>
      <c r="K248" s="600">
        <f t="shared" si="149"/>
        <v>118</v>
      </c>
      <c r="L248" s="601">
        <f t="shared" si="150"/>
        <v>318.75</v>
      </c>
      <c r="M248" s="691">
        <f t="shared" si="151"/>
        <v>163.45000000000002</v>
      </c>
      <c r="N248" s="650">
        <f t="shared" si="152"/>
        <v>0</v>
      </c>
      <c r="O248" s="601">
        <f t="shared" si="153"/>
        <v>163.45000000000002</v>
      </c>
      <c r="P248" s="599">
        <f t="shared" si="154"/>
        <v>482.20000000000005</v>
      </c>
      <c r="Q248" s="69"/>
      <c r="R248" s="69"/>
      <c r="S248" s="69"/>
      <c r="T248" s="903"/>
      <c r="U248" s="208">
        <v>112</v>
      </c>
      <c r="V248" s="69"/>
      <c r="W248" s="69"/>
      <c r="Y248" s="189"/>
      <c r="Z248" s="69"/>
    </row>
    <row r="249" spans="1:26">
      <c r="A249" s="156">
        <f t="shared" si="146"/>
        <v>249</v>
      </c>
      <c r="B249" s="262"/>
      <c r="C249" s="726" t="s">
        <v>1197</v>
      </c>
      <c r="D249" s="153"/>
      <c r="E249" s="678">
        <v>464500</v>
      </c>
      <c r="F249" s="629">
        <v>1500</v>
      </c>
      <c r="G249" s="629">
        <v>150</v>
      </c>
      <c r="H249" s="630">
        <v>80</v>
      </c>
      <c r="I249" s="594">
        <f t="shared" si="147"/>
        <v>278.7</v>
      </c>
      <c r="J249" s="595">
        <f t="shared" si="148"/>
        <v>25.55</v>
      </c>
      <c r="K249" s="600">
        <f t="shared" si="149"/>
        <v>178.85000000000002</v>
      </c>
      <c r="L249" s="601">
        <f t="shared" si="150"/>
        <v>483.1</v>
      </c>
      <c r="M249" s="691">
        <f t="shared" si="151"/>
        <v>247.75</v>
      </c>
      <c r="N249" s="650">
        <f t="shared" si="152"/>
        <v>0</v>
      </c>
      <c r="O249" s="601">
        <f t="shared" si="153"/>
        <v>247.75</v>
      </c>
      <c r="P249" s="599">
        <f t="shared" si="154"/>
        <v>730.85</v>
      </c>
      <c r="Q249" s="69"/>
      <c r="R249" s="69"/>
      <c r="S249" s="69"/>
      <c r="T249" s="903"/>
      <c r="U249" s="208">
        <v>150</v>
      </c>
      <c r="V249" s="69"/>
      <c r="W249" s="69"/>
      <c r="Y249" s="189"/>
      <c r="Z249" s="69"/>
    </row>
    <row r="250" spans="1:26">
      <c r="A250" s="156">
        <f>IF(ISNUMBER(E250),ROW(),"")</f>
        <v>250</v>
      </c>
      <c r="B250" s="262"/>
      <c r="C250" s="726" t="s">
        <v>781</v>
      </c>
      <c r="D250" s="153"/>
      <c r="E250" s="678">
        <v>567750</v>
      </c>
      <c r="F250" s="629">
        <v>1500</v>
      </c>
      <c r="G250" s="629">
        <v>150</v>
      </c>
      <c r="H250" s="630">
        <v>80</v>
      </c>
      <c r="I250" s="594">
        <f t="shared" si="147"/>
        <v>340.65000000000003</v>
      </c>
      <c r="J250" s="595">
        <f t="shared" si="148"/>
        <v>31.25</v>
      </c>
      <c r="K250" s="600">
        <f t="shared" si="149"/>
        <v>218.60000000000002</v>
      </c>
      <c r="L250" s="601">
        <f t="shared" si="150"/>
        <v>590.5</v>
      </c>
      <c r="M250" s="691">
        <f t="shared" si="151"/>
        <v>302.8</v>
      </c>
      <c r="N250" s="650">
        <f t="shared" si="152"/>
        <v>0</v>
      </c>
      <c r="O250" s="601">
        <f t="shared" si="153"/>
        <v>302.8</v>
      </c>
      <c r="P250" s="599">
        <f t="shared" si="154"/>
        <v>893.3</v>
      </c>
      <c r="Q250" s="69"/>
      <c r="R250" s="69"/>
      <c r="S250" s="69"/>
      <c r="T250" s="903"/>
      <c r="U250" s="208">
        <v>112</v>
      </c>
      <c r="V250" s="69"/>
      <c r="W250" s="69"/>
      <c r="Y250" s="189"/>
      <c r="Z250" s="69"/>
    </row>
    <row r="251" spans="1:26">
      <c r="A251" s="156" t="str">
        <f t="shared" si="146"/>
        <v/>
      </c>
      <c r="B251" s="261"/>
      <c r="C251" s="820"/>
      <c r="D251" s="153"/>
      <c r="E251" s="790"/>
      <c r="F251" s="690"/>
      <c r="G251" s="690"/>
      <c r="H251" s="585"/>
      <c r="I251" s="585"/>
      <c r="J251" s="585"/>
      <c r="K251" s="585"/>
      <c r="L251" s="585"/>
      <c r="M251" s="175"/>
      <c r="N251" s="175"/>
      <c r="O251" s="175"/>
      <c r="P251" s="586"/>
      <c r="Q251" s="69"/>
      <c r="R251" s="69"/>
      <c r="S251" s="69"/>
      <c r="T251" s="903"/>
      <c r="U251" s="205"/>
      <c r="Y251" s="189"/>
      <c r="Z251" s="69"/>
    </row>
    <row r="252" spans="1:26">
      <c r="A252" s="156" t="str">
        <f t="shared" si="146"/>
        <v/>
      </c>
      <c r="B252" s="261"/>
      <c r="C252" s="822" t="s">
        <v>647</v>
      </c>
      <c r="D252" s="153"/>
      <c r="E252" s="790"/>
      <c r="F252" s="690"/>
      <c r="G252" s="690"/>
      <c r="H252" s="585"/>
      <c r="I252" s="585"/>
      <c r="J252" s="585"/>
      <c r="K252" s="585"/>
      <c r="L252" s="585"/>
      <c r="M252" s="175"/>
      <c r="N252" s="175"/>
      <c r="O252" s="175"/>
      <c r="P252" s="586"/>
      <c r="Q252" s="69"/>
      <c r="R252" s="69"/>
      <c r="S252" s="69"/>
      <c r="T252" s="903"/>
      <c r="U252" s="205"/>
      <c r="Y252" s="189"/>
      <c r="Z252" s="69"/>
    </row>
    <row r="253" spans="1:26">
      <c r="A253" s="156">
        <f t="shared" si="146"/>
        <v>253</v>
      </c>
      <c r="B253" s="262"/>
      <c r="C253" s="726" t="s">
        <v>644</v>
      </c>
      <c r="D253" s="153"/>
      <c r="E253" s="678">
        <v>204750</v>
      </c>
      <c r="F253" s="629">
        <v>1500</v>
      </c>
      <c r="G253" s="629">
        <v>150</v>
      </c>
      <c r="H253" s="630">
        <v>80</v>
      </c>
      <c r="I253" s="594">
        <f>MROUND(E253*(1-$E$677/100)/F253,0.05)</f>
        <v>122.85000000000001</v>
      </c>
      <c r="J253" s="595">
        <f>MROUND($E253*(1+$E$677/100)/2*$E$682/100/$G253,0.05)</f>
        <v>11.25</v>
      </c>
      <c r="K253" s="600">
        <f>MROUND($E253*(1+$E$677/100)/2*$E$678/100/$G253,0.05)</f>
        <v>78.850000000000009</v>
      </c>
      <c r="L253" s="601">
        <f t="shared" ref="L253:L255" si="156">SUM(I253:K253)</f>
        <v>212.95000000000005</v>
      </c>
      <c r="M253" s="691">
        <f>MROUND($E253*$H253/100/$F253,0.05)</f>
        <v>109.2</v>
      </c>
      <c r="N253" s="650">
        <f t="shared" ref="N253:N255" si="157">MROUND(Y253*Z253,0.05)</f>
        <v>0</v>
      </c>
      <c r="O253" s="601">
        <f t="shared" ref="O253:O255" si="158">SUM(M253:N253)</f>
        <v>109.2</v>
      </c>
      <c r="P253" s="599">
        <f t="shared" ref="P253:P255" si="159">O253+L253</f>
        <v>322.15000000000003</v>
      </c>
      <c r="Q253" s="69"/>
      <c r="R253" s="69"/>
      <c r="S253" s="69"/>
      <c r="T253" s="903"/>
      <c r="U253" s="208">
        <v>40</v>
      </c>
      <c r="V253" s="69"/>
      <c r="W253" s="69"/>
      <c r="Y253" s="189"/>
      <c r="Z253" s="69"/>
    </row>
    <row r="254" spans="1:26">
      <c r="A254" s="156">
        <f t="shared" si="146"/>
        <v>254</v>
      </c>
      <c r="B254" s="262"/>
      <c r="C254" s="726" t="s">
        <v>645</v>
      </c>
      <c r="D254" s="153"/>
      <c r="E254" s="678">
        <v>214750</v>
      </c>
      <c r="F254" s="629">
        <v>1500</v>
      </c>
      <c r="G254" s="629">
        <v>150</v>
      </c>
      <c r="H254" s="630">
        <v>80</v>
      </c>
      <c r="I254" s="594">
        <f>MROUND(E254*(1-$E$677/100)/F254,0.05)</f>
        <v>128.85</v>
      </c>
      <c r="J254" s="595">
        <f>MROUND($E254*(1+$E$677/100)/2*$E$682/100/$G254,0.05)</f>
        <v>11.8</v>
      </c>
      <c r="K254" s="600">
        <f>MROUND($E254*(1+$E$677/100)/2*$E$678/100/$G254,0.05)</f>
        <v>82.7</v>
      </c>
      <c r="L254" s="601">
        <f t="shared" si="156"/>
        <v>223.35000000000002</v>
      </c>
      <c r="M254" s="691">
        <f>MROUND($E254*$H254/100/$F254,0.05)</f>
        <v>114.55000000000001</v>
      </c>
      <c r="N254" s="650">
        <f t="shared" si="157"/>
        <v>0</v>
      </c>
      <c r="O254" s="601">
        <f t="shared" si="158"/>
        <v>114.55000000000001</v>
      </c>
      <c r="P254" s="599">
        <f t="shared" si="159"/>
        <v>337.90000000000003</v>
      </c>
      <c r="Q254" s="69"/>
      <c r="R254" s="69"/>
      <c r="S254" s="69"/>
      <c r="T254" s="903"/>
      <c r="U254" s="208">
        <v>65</v>
      </c>
      <c r="V254" s="69"/>
      <c r="W254" s="69"/>
      <c r="Y254" s="189"/>
      <c r="Z254" s="69"/>
    </row>
    <row r="255" spans="1:26">
      <c r="A255" s="156">
        <f t="shared" si="146"/>
        <v>255</v>
      </c>
      <c r="B255" s="262"/>
      <c r="C255" s="726" t="s">
        <v>646</v>
      </c>
      <c r="D255" s="153"/>
      <c r="E255" s="678">
        <v>279500</v>
      </c>
      <c r="F255" s="629">
        <v>1500</v>
      </c>
      <c r="G255" s="629">
        <v>150</v>
      </c>
      <c r="H255" s="630">
        <v>80</v>
      </c>
      <c r="I255" s="594">
        <f>MROUND(E255*(1-$E$677/100)/F255,0.05)</f>
        <v>167.70000000000002</v>
      </c>
      <c r="J255" s="595">
        <f>MROUND($E255*(1+$E$677/100)/2*$E$682/100/$G255,0.05)</f>
        <v>15.350000000000001</v>
      </c>
      <c r="K255" s="600">
        <f>MROUND($E255*(1+$E$677/100)/2*$E$678/100/$G255,0.05)</f>
        <v>107.60000000000001</v>
      </c>
      <c r="L255" s="601">
        <f t="shared" si="156"/>
        <v>290.65000000000003</v>
      </c>
      <c r="M255" s="691">
        <f>MROUND($E255*$H255/100/$F255,0.05)</f>
        <v>149.05000000000001</v>
      </c>
      <c r="N255" s="650">
        <f t="shared" si="157"/>
        <v>0</v>
      </c>
      <c r="O255" s="601">
        <f t="shared" si="158"/>
        <v>149.05000000000001</v>
      </c>
      <c r="P255" s="599">
        <f t="shared" si="159"/>
        <v>439.70000000000005</v>
      </c>
      <c r="Q255" s="69"/>
      <c r="R255" s="69"/>
      <c r="S255" s="69"/>
      <c r="T255" s="903"/>
      <c r="U255" s="208">
        <v>120</v>
      </c>
      <c r="V255" s="69"/>
      <c r="W255" s="69"/>
      <c r="Y255" s="189"/>
      <c r="Z255" s="69"/>
    </row>
    <row r="256" spans="1:26">
      <c r="A256" s="310">
        <f t="shared" ref="A256:A257" si="160">IF(ISNUMBER(E256),ROW(),"")</f>
        <v>256</v>
      </c>
      <c r="B256" s="262"/>
      <c r="C256" s="726" t="s">
        <v>1316</v>
      </c>
      <c r="D256" s="153"/>
      <c r="E256" s="678">
        <v>669000</v>
      </c>
      <c r="F256" s="629">
        <v>1500</v>
      </c>
      <c r="G256" s="629">
        <v>150</v>
      </c>
      <c r="H256" s="630">
        <v>80</v>
      </c>
      <c r="I256" s="594">
        <f>MROUND(E256*(1-$E$677/100)/F256,0.05)</f>
        <v>401.40000000000003</v>
      </c>
      <c r="J256" s="595">
        <f>MROUND($E256*(1+$E$677/100)/2*$E$682/100/$G256,0.05)</f>
        <v>36.800000000000004</v>
      </c>
      <c r="K256" s="600">
        <f>MROUND($E256*(1+$E$677/100)/2*$E$678/100/$G256,0.05)</f>
        <v>257.55</v>
      </c>
      <c r="L256" s="601">
        <f t="shared" ref="L256:L257" si="161">SUM(I256:K256)</f>
        <v>695.75</v>
      </c>
      <c r="M256" s="691">
        <f>MROUND($E256*$H256/100/$F256,0.05)</f>
        <v>356.8</v>
      </c>
      <c r="N256" s="650">
        <f t="shared" ref="N256:N257" si="162">MROUND(Y256*Z256,0.05)</f>
        <v>0</v>
      </c>
      <c r="O256" s="601">
        <f t="shared" ref="O256:O257" si="163">SUM(M256:N256)</f>
        <v>356.8</v>
      </c>
      <c r="P256" s="599">
        <f t="shared" ref="P256:P257" si="164">O256+L256</f>
        <v>1052.55</v>
      </c>
      <c r="Q256" s="69"/>
      <c r="R256" s="69"/>
      <c r="S256" s="69"/>
      <c r="T256" s="903"/>
      <c r="U256" s="208">
        <v>120</v>
      </c>
      <c r="V256" s="69"/>
      <c r="W256" s="69"/>
      <c r="Y256" s="772"/>
      <c r="Z256" s="69"/>
    </row>
    <row r="257" spans="1:26">
      <c r="A257" s="310">
        <f t="shared" si="160"/>
        <v>257</v>
      </c>
      <c r="B257" s="262"/>
      <c r="C257" s="726" t="s">
        <v>1317</v>
      </c>
      <c r="D257" s="153"/>
      <c r="E257" s="678">
        <v>723000</v>
      </c>
      <c r="F257" s="629">
        <v>1500</v>
      </c>
      <c r="G257" s="629">
        <v>150</v>
      </c>
      <c r="H257" s="630">
        <v>80</v>
      </c>
      <c r="I257" s="594">
        <f>MROUND(E257*(1-$E$677/100)/F257,0.05)</f>
        <v>433.8</v>
      </c>
      <c r="J257" s="595">
        <f>MROUND($E257*(1+$E$677/100)/2*$E$682/100/$G257,0.05)</f>
        <v>39.75</v>
      </c>
      <c r="K257" s="600">
        <f>MROUND($E257*(1+$E$677/100)/2*$E$678/100/$G257,0.05)</f>
        <v>278.35000000000002</v>
      </c>
      <c r="L257" s="601">
        <f t="shared" si="161"/>
        <v>751.90000000000009</v>
      </c>
      <c r="M257" s="691">
        <f>MROUND($E257*$H257/100/$F257,0.05)</f>
        <v>385.6</v>
      </c>
      <c r="N257" s="650">
        <f t="shared" si="162"/>
        <v>0</v>
      </c>
      <c r="O257" s="601">
        <f t="shared" si="163"/>
        <v>385.6</v>
      </c>
      <c r="P257" s="599">
        <f t="shared" si="164"/>
        <v>1137.5</v>
      </c>
      <c r="Q257" s="69"/>
      <c r="R257" s="69"/>
      <c r="S257" s="69"/>
      <c r="T257" s="903"/>
      <c r="U257" s="208">
        <v>120</v>
      </c>
      <c r="V257" s="69"/>
      <c r="W257" s="69"/>
      <c r="Y257" s="772"/>
      <c r="Z257" s="69"/>
    </row>
    <row r="258" spans="1:26">
      <c r="A258" s="156" t="str">
        <f t="shared" si="146"/>
        <v/>
      </c>
      <c r="B258" s="262"/>
      <c r="C258" s="726"/>
      <c r="D258" s="153"/>
      <c r="E258" s="790"/>
      <c r="F258" s="629"/>
      <c r="G258" s="629"/>
      <c r="H258" s="629"/>
      <c r="I258" s="594"/>
      <c r="J258" s="595"/>
      <c r="K258" s="594"/>
      <c r="L258" s="596"/>
      <c r="M258" s="598"/>
      <c r="N258" s="598"/>
      <c r="O258" s="596"/>
      <c r="P258" s="599"/>
      <c r="Q258" s="69"/>
      <c r="R258" s="69"/>
      <c r="S258" s="69"/>
      <c r="T258" s="903"/>
      <c r="U258" s="205"/>
      <c r="V258" s="69"/>
      <c r="W258" s="69"/>
      <c r="Y258" s="189"/>
      <c r="Z258" s="69"/>
    </row>
    <row r="259" spans="1:26">
      <c r="A259" s="156" t="str">
        <f t="shared" ref="A259:A261" si="165">IF(ISNUMBER(E259),ROW(),"")</f>
        <v/>
      </c>
      <c r="B259" s="262"/>
      <c r="C259" s="822" t="s">
        <v>643</v>
      </c>
      <c r="D259" s="153"/>
      <c r="E259" s="790"/>
      <c r="F259" s="629"/>
      <c r="G259" s="629"/>
      <c r="H259" s="629"/>
      <c r="I259" s="594"/>
      <c r="J259" s="595"/>
      <c r="K259" s="594"/>
      <c r="L259" s="596"/>
      <c r="M259" s="598"/>
      <c r="N259" s="598"/>
      <c r="O259" s="596"/>
      <c r="P259" s="599"/>
      <c r="Q259" s="69"/>
      <c r="R259" s="69"/>
      <c r="S259" s="69"/>
      <c r="T259" s="903"/>
      <c r="U259" s="205"/>
      <c r="V259" s="69"/>
      <c r="W259" s="69"/>
      <c r="Y259" s="189"/>
      <c r="Z259" s="69"/>
    </row>
    <row r="260" spans="1:26">
      <c r="A260" s="156">
        <f t="shared" si="165"/>
        <v>260</v>
      </c>
      <c r="B260" s="262"/>
      <c r="C260" s="726" t="s">
        <v>769</v>
      </c>
      <c r="D260" s="153"/>
      <c r="E260" s="678">
        <v>54000</v>
      </c>
      <c r="F260" s="629">
        <v>1500</v>
      </c>
      <c r="G260" s="629">
        <v>150</v>
      </c>
      <c r="H260" s="630">
        <v>80</v>
      </c>
      <c r="I260" s="594">
        <f>MROUND(E260*(1-$E$677/100)/F260,0.05)</f>
        <v>32.4</v>
      </c>
      <c r="J260" s="595">
        <f>MROUND($E260*(1+$E$677/100)/2*$E$682/100/$G260,0.05)</f>
        <v>2.95</v>
      </c>
      <c r="K260" s="600">
        <f>MROUND($E260*(1+$E$677/100)/2*$E$678/100/$G260,0.05)</f>
        <v>20.8</v>
      </c>
      <c r="L260" s="601">
        <f t="shared" ref="L260:L261" si="166">SUM(I260:K260)</f>
        <v>56.150000000000006</v>
      </c>
      <c r="M260" s="691">
        <f>MROUND($E260*$H260/100/$F260,0.05)</f>
        <v>28.8</v>
      </c>
      <c r="N260" s="650">
        <f t="shared" ref="N260:N261" si="167">MROUND(Y260*Z260,0.05)</f>
        <v>0</v>
      </c>
      <c r="O260" s="601">
        <f t="shared" ref="O260:O261" si="168">SUM(M260:N260)</f>
        <v>28.8</v>
      </c>
      <c r="P260" s="599">
        <f t="shared" ref="P260:P261" si="169">O260+L260</f>
        <v>84.95</v>
      </c>
      <c r="Q260" s="69"/>
      <c r="R260" s="69"/>
      <c r="S260" s="69"/>
      <c r="T260" s="903"/>
      <c r="U260" s="208" t="s">
        <v>347</v>
      </c>
      <c r="V260" s="69"/>
      <c r="W260" s="69"/>
      <c r="Y260" s="189"/>
      <c r="Z260" s="69"/>
    </row>
    <row r="261" spans="1:26">
      <c r="A261" s="156">
        <f t="shared" si="165"/>
        <v>261</v>
      </c>
      <c r="B261" s="262"/>
      <c r="C261" s="726" t="s">
        <v>770</v>
      </c>
      <c r="D261" s="153"/>
      <c r="E261" s="678">
        <v>59250</v>
      </c>
      <c r="F261" s="629">
        <v>1500</v>
      </c>
      <c r="G261" s="629">
        <v>150</v>
      </c>
      <c r="H261" s="630">
        <v>80</v>
      </c>
      <c r="I261" s="594">
        <f>MROUND(E261*(1-$E$677/100)/F261,0.05)</f>
        <v>35.550000000000004</v>
      </c>
      <c r="J261" s="595">
        <f>MROUND($E261*(1+$E$677/100)/2*$E$682/100/$G261,0.05)</f>
        <v>3.25</v>
      </c>
      <c r="K261" s="600">
        <f>MROUND($E261*(1+$E$677/100)/2*$E$678/100/$G261,0.05)</f>
        <v>22.8</v>
      </c>
      <c r="L261" s="601">
        <f t="shared" si="166"/>
        <v>61.600000000000009</v>
      </c>
      <c r="M261" s="691">
        <f>MROUND($E261*$H261/100/$F261,0.05)</f>
        <v>31.6</v>
      </c>
      <c r="N261" s="650">
        <f t="shared" si="167"/>
        <v>0</v>
      </c>
      <c r="O261" s="601">
        <f t="shared" si="168"/>
        <v>31.6</v>
      </c>
      <c r="P261" s="599">
        <f t="shared" si="169"/>
        <v>93.200000000000017</v>
      </c>
      <c r="Q261" s="69"/>
      <c r="R261" s="69"/>
      <c r="S261" s="69"/>
      <c r="T261" s="903"/>
      <c r="U261" s="208" t="s">
        <v>347</v>
      </c>
      <c r="V261" s="69"/>
      <c r="W261" s="69"/>
      <c r="Y261" s="189"/>
      <c r="Z261" s="69"/>
    </row>
    <row r="262" spans="1:26">
      <c r="A262" s="156" t="str">
        <f t="shared" ref="A262:A276" si="170">IF(ISNUMBER(E262),ROW(),"")</f>
        <v/>
      </c>
      <c r="B262" s="261"/>
      <c r="C262" s="823"/>
      <c r="D262" s="170"/>
      <c r="E262" s="563"/>
      <c r="F262" s="692"/>
      <c r="G262" s="692"/>
      <c r="H262" s="692"/>
      <c r="I262" s="605"/>
      <c r="J262" s="606"/>
      <c r="K262" s="605"/>
      <c r="L262" s="607"/>
      <c r="M262" s="608"/>
      <c r="N262" s="608"/>
      <c r="O262" s="607"/>
      <c r="P262" s="609"/>
      <c r="U262" s="207"/>
      <c r="Y262" s="189"/>
      <c r="Z262" s="69"/>
    </row>
    <row r="263" spans="1:26">
      <c r="A263" s="156" t="str">
        <f t="shared" si="170"/>
        <v/>
      </c>
      <c r="B263" s="261"/>
      <c r="C263" s="725"/>
      <c r="D263" s="153"/>
      <c r="E263" s="557"/>
      <c r="F263" s="585"/>
      <c r="G263" s="585"/>
      <c r="H263" s="585"/>
      <c r="I263" s="585"/>
      <c r="J263" s="585"/>
      <c r="K263" s="585"/>
      <c r="L263" s="585"/>
      <c r="M263" s="175"/>
      <c r="N263" s="175"/>
      <c r="O263" s="175"/>
      <c r="P263" s="585"/>
      <c r="U263" s="201"/>
      <c r="Y263" s="189"/>
      <c r="Z263" s="69"/>
    </row>
    <row r="264" spans="1:26" ht="13.5" thickBot="1">
      <c r="A264" s="156" t="str">
        <f t="shared" si="170"/>
        <v/>
      </c>
      <c r="B264" s="266">
        <f>MAX($B$8:B263)+0.01</f>
        <v>8.02</v>
      </c>
      <c r="C264" s="824" t="s">
        <v>639</v>
      </c>
      <c r="D264" s="95"/>
      <c r="E264" s="713"/>
      <c r="F264" s="683"/>
      <c r="G264" s="683"/>
      <c r="H264" s="684"/>
      <c r="I264" s="684"/>
      <c r="J264" s="684"/>
      <c r="K264" s="684"/>
      <c r="L264" s="684"/>
      <c r="M264" s="685"/>
      <c r="N264" s="685"/>
      <c r="O264" s="685"/>
      <c r="P264" s="697" t="s">
        <v>640</v>
      </c>
      <c r="U264" s="204"/>
      <c r="Y264" s="189"/>
      <c r="Z264" s="69"/>
    </row>
    <row r="265" spans="1:26">
      <c r="A265" s="156" t="str">
        <f t="shared" si="170"/>
        <v/>
      </c>
      <c r="B265" s="262"/>
      <c r="C265" s="825"/>
      <c r="D265" s="826"/>
      <c r="E265" s="709"/>
      <c r="F265" s="687"/>
      <c r="G265" s="687"/>
      <c r="H265" s="589"/>
      <c r="I265" s="589"/>
      <c r="J265" s="589"/>
      <c r="K265" s="589"/>
      <c r="L265" s="589"/>
      <c r="M265" s="688"/>
      <c r="N265" s="688"/>
      <c r="O265" s="688"/>
      <c r="P265" s="689"/>
      <c r="Q265" s="69"/>
      <c r="R265" s="69"/>
      <c r="S265" s="69"/>
      <c r="T265" s="903"/>
      <c r="U265" s="205"/>
      <c r="V265" s="69"/>
      <c r="W265" s="69"/>
      <c r="Y265" s="189"/>
      <c r="Z265" s="69"/>
    </row>
    <row r="266" spans="1:26">
      <c r="A266" s="156" t="str">
        <f>IF(ISNUMBER(E266),ROW(),"")</f>
        <v/>
      </c>
      <c r="B266" s="262"/>
      <c r="C266" s="822" t="s">
        <v>981</v>
      </c>
      <c r="D266" s="153"/>
      <c r="E266" s="711"/>
      <c r="F266" s="629"/>
      <c r="G266" s="629"/>
      <c r="H266" s="629"/>
      <c r="I266" s="594"/>
      <c r="J266" s="595"/>
      <c r="K266" s="594"/>
      <c r="L266" s="596"/>
      <c r="M266" s="598"/>
      <c r="N266" s="598"/>
      <c r="O266" s="596"/>
      <c r="P266" s="599"/>
      <c r="Q266" s="69"/>
      <c r="R266" s="69"/>
      <c r="S266" s="69"/>
      <c r="T266" s="903"/>
      <c r="U266" s="205"/>
      <c r="V266" s="69"/>
      <c r="W266" s="69"/>
      <c r="Y266" s="189"/>
      <c r="Z266" s="69"/>
    </row>
    <row r="267" spans="1:26">
      <c r="A267" s="156">
        <f>IF(ISNUMBER(E267),ROW(),"")</f>
        <v>267</v>
      </c>
      <c r="B267" s="262"/>
      <c r="C267" s="726" t="s">
        <v>979</v>
      </c>
      <c r="D267" s="153"/>
      <c r="E267" s="678">
        <v>108250</v>
      </c>
      <c r="F267" s="629">
        <v>1500</v>
      </c>
      <c r="G267" s="629">
        <v>150</v>
      </c>
      <c r="H267" s="630">
        <v>80</v>
      </c>
      <c r="I267" s="594">
        <f>MROUND(E267*(1-$E$677/100)/F267,0.05)</f>
        <v>64.95</v>
      </c>
      <c r="J267" s="595">
        <f>MROUND($E267*(1+$E$677/100)/2*$E$682/100/$G267,0.05)</f>
        <v>5.95</v>
      </c>
      <c r="K267" s="600">
        <f>MROUND($E267*(1+$E$677/100)/2*$E$678/100/$G267,0.05)</f>
        <v>41.7</v>
      </c>
      <c r="L267" s="601">
        <f t="shared" ref="L267:L268" si="171">SUM(I267:K267)</f>
        <v>112.60000000000001</v>
      </c>
      <c r="M267" s="691">
        <f>MROUND($E267*$H267/100/$F267,0.05)</f>
        <v>57.75</v>
      </c>
      <c r="N267" s="650">
        <f t="shared" ref="N267:N268" si="172">MROUND(Y267*Z267,0.05)</f>
        <v>0</v>
      </c>
      <c r="O267" s="601">
        <f t="shared" ref="O267:O268" si="173">SUM(M267:N267)</f>
        <v>57.75</v>
      </c>
      <c r="P267" s="599">
        <f t="shared" ref="P267:P268" si="174">O267+L267</f>
        <v>170.35000000000002</v>
      </c>
      <c r="Q267" s="69"/>
      <c r="R267" s="69"/>
      <c r="S267" s="69"/>
      <c r="T267" s="903"/>
      <c r="U267" s="208">
        <v>40</v>
      </c>
      <c r="V267" s="69"/>
      <c r="W267" s="69"/>
      <c r="Y267" s="189"/>
    </row>
    <row r="268" spans="1:26">
      <c r="A268" s="156">
        <f>IF(ISNUMBER(E268),ROW(),"")</f>
        <v>268</v>
      </c>
      <c r="B268" s="262"/>
      <c r="C268" s="726" t="s">
        <v>980</v>
      </c>
      <c r="D268" s="153"/>
      <c r="E268" s="678">
        <v>132250</v>
      </c>
      <c r="F268" s="629">
        <v>1500</v>
      </c>
      <c r="G268" s="629">
        <v>150</v>
      </c>
      <c r="H268" s="630">
        <v>80</v>
      </c>
      <c r="I268" s="594">
        <f>MROUND(E268*(1-$E$677/100)/F268,0.05)</f>
        <v>79.350000000000009</v>
      </c>
      <c r="J268" s="595">
        <f>MROUND($E268*(1+$E$677/100)/2*$E$682/100/$G268,0.05)</f>
        <v>7.25</v>
      </c>
      <c r="K268" s="600">
        <f>MROUND($E268*(1+$E$677/100)/2*$E$678/100/$G268,0.05)</f>
        <v>50.900000000000006</v>
      </c>
      <c r="L268" s="601">
        <f t="shared" si="171"/>
        <v>137.5</v>
      </c>
      <c r="M268" s="691">
        <f>MROUND($E268*$H268/100/$F268,0.05)</f>
        <v>70.55</v>
      </c>
      <c r="N268" s="650">
        <f t="shared" si="172"/>
        <v>0</v>
      </c>
      <c r="O268" s="601">
        <f t="shared" si="173"/>
        <v>70.55</v>
      </c>
      <c r="P268" s="599">
        <f t="shared" si="174"/>
        <v>208.05</v>
      </c>
      <c r="Q268" s="69"/>
      <c r="R268" s="69"/>
      <c r="S268" s="69"/>
      <c r="T268" s="903"/>
      <c r="U268" s="208">
        <v>50</v>
      </c>
      <c r="V268" s="69"/>
      <c r="W268" s="69"/>
      <c r="Y268" s="189"/>
    </row>
    <row r="269" spans="1:26">
      <c r="A269" s="310"/>
      <c r="B269" s="262"/>
      <c r="C269" s="726"/>
      <c r="D269" s="153"/>
      <c r="E269" s="790"/>
      <c r="F269" s="629"/>
      <c r="G269" s="629"/>
      <c r="H269" s="629"/>
      <c r="I269" s="594"/>
      <c r="J269" s="595"/>
      <c r="K269" s="594"/>
      <c r="L269" s="596"/>
      <c r="M269" s="598"/>
      <c r="N269" s="598"/>
      <c r="O269" s="596"/>
      <c r="P269" s="599"/>
      <c r="Q269" s="69"/>
      <c r="R269" s="69"/>
      <c r="S269" s="69"/>
      <c r="T269" s="903"/>
      <c r="U269" s="208"/>
      <c r="V269" s="69"/>
      <c r="W269" s="69"/>
      <c r="Y269" s="534"/>
    </row>
    <row r="270" spans="1:26">
      <c r="A270" s="157"/>
      <c r="B270" s="262"/>
      <c r="C270" s="822" t="s">
        <v>982</v>
      </c>
      <c r="D270" s="153"/>
      <c r="E270" s="790"/>
      <c r="F270" s="629"/>
      <c r="G270" s="629"/>
      <c r="H270" s="629"/>
      <c r="I270" s="594"/>
      <c r="J270" s="595"/>
      <c r="K270" s="594"/>
      <c r="L270" s="596"/>
      <c r="M270" s="598"/>
      <c r="N270" s="598"/>
      <c r="O270" s="596"/>
      <c r="P270" s="599"/>
      <c r="Q270" s="69"/>
      <c r="R270" s="69"/>
      <c r="S270" s="69"/>
      <c r="T270" s="903"/>
      <c r="U270" s="205"/>
      <c r="V270" s="69"/>
      <c r="W270" s="69"/>
      <c r="Y270" s="189"/>
    </row>
    <row r="271" spans="1:26">
      <c r="A271" s="156">
        <f t="shared" si="170"/>
        <v>271</v>
      </c>
      <c r="B271" s="262"/>
      <c r="C271" s="835" t="s">
        <v>808</v>
      </c>
      <c r="D271" s="153"/>
      <c r="E271" s="678">
        <v>479000</v>
      </c>
      <c r="F271" s="629">
        <v>1500</v>
      </c>
      <c r="G271" s="629">
        <v>150</v>
      </c>
      <c r="H271" s="630">
        <v>40</v>
      </c>
      <c r="I271" s="594">
        <f>MROUND(E271*(1-$E$677/100)/F271,0.05)</f>
        <v>287.40000000000003</v>
      </c>
      <c r="J271" s="595">
        <f>MROUND($E271*(1+$E$677/100)/2*$E$682/100/$G271,0.05)</f>
        <v>26.35</v>
      </c>
      <c r="K271" s="600">
        <f>MROUND($E271*(1+$E$677/100)/2*$E$678/100/$G271,0.05)</f>
        <v>184.4</v>
      </c>
      <c r="L271" s="601">
        <f t="shared" ref="L271:L274" si="175">SUM(I271:K271)</f>
        <v>498.15000000000009</v>
      </c>
      <c r="M271" s="691">
        <f>MROUND($E271*$H271/100/$F271,0.05)</f>
        <v>127.75</v>
      </c>
      <c r="N271" s="650">
        <f t="shared" ref="N271:N274" si="176">MROUND(Y271*Z271,0.05)</f>
        <v>0</v>
      </c>
      <c r="O271" s="601">
        <f t="shared" ref="O271:O274" si="177">SUM(M271:N271)</f>
        <v>127.75</v>
      </c>
      <c r="P271" s="599">
        <f t="shared" ref="P271:P274" si="178">O271+L271</f>
        <v>625.90000000000009</v>
      </c>
      <c r="Q271" s="69"/>
      <c r="R271" s="69"/>
      <c r="S271" s="69"/>
      <c r="T271" s="903"/>
      <c r="U271" s="208">
        <v>45</v>
      </c>
      <c r="V271" s="69"/>
      <c r="W271" s="69"/>
      <c r="Y271" s="189"/>
    </row>
    <row r="272" spans="1:26">
      <c r="A272" s="310">
        <f t="shared" ref="A272" si="179">IF(ISNUMBER(E272),ROW(),"")</f>
        <v>272</v>
      </c>
      <c r="B272" s="262"/>
      <c r="C272" s="835" t="s">
        <v>809</v>
      </c>
      <c r="D272" s="153"/>
      <c r="E272" s="678">
        <v>503250</v>
      </c>
      <c r="F272" s="629">
        <v>1500</v>
      </c>
      <c r="G272" s="629">
        <v>150</v>
      </c>
      <c r="H272" s="630">
        <v>40</v>
      </c>
      <c r="I272" s="594">
        <f>MROUND(E272*(1-$E$677/100)/F272,0.05)</f>
        <v>301.95</v>
      </c>
      <c r="J272" s="595">
        <f>MROUND($E272*(1+$E$677/100)/2*$E$682/100/$G272,0.05)</f>
        <v>27.700000000000003</v>
      </c>
      <c r="K272" s="600">
        <f>MROUND($E272*(1+$E$677/100)/2*$E$678/100/$G272,0.05)</f>
        <v>193.75</v>
      </c>
      <c r="L272" s="601">
        <f t="shared" si="175"/>
        <v>523.4</v>
      </c>
      <c r="M272" s="691">
        <f>MROUND($E272*$H272/100/$F272,0.05)</f>
        <v>134.20000000000002</v>
      </c>
      <c r="N272" s="650">
        <f t="shared" si="176"/>
        <v>0</v>
      </c>
      <c r="O272" s="601">
        <f t="shared" si="177"/>
        <v>134.20000000000002</v>
      </c>
      <c r="P272" s="599">
        <f t="shared" si="178"/>
        <v>657.6</v>
      </c>
      <c r="Q272" s="69"/>
      <c r="R272" s="69"/>
      <c r="S272" s="69"/>
      <c r="T272" s="903"/>
      <c r="U272" s="208">
        <v>65</v>
      </c>
      <c r="V272" s="69"/>
      <c r="W272" s="69"/>
      <c r="Y272" s="442"/>
    </row>
    <row r="273" spans="1:26">
      <c r="A273" s="310">
        <f t="shared" ref="A273" si="180">IF(ISNUMBER(E273),ROW(),"")</f>
        <v>273</v>
      </c>
      <c r="B273" s="262"/>
      <c r="C273" s="835" t="s">
        <v>810</v>
      </c>
      <c r="D273" s="153"/>
      <c r="E273" s="678">
        <v>932750</v>
      </c>
      <c r="F273" s="629">
        <v>1500</v>
      </c>
      <c r="G273" s="629">
        <v>150</v>
      </c>
      <c r="H273" s="630">
        <v>40</v>
      </c>
      <c r="I273" s="594">
        <f>MROUND(E273*(1-$E$677/100)/F273,0.05)</f>
        <v>559.65</v>
      </c>
      <c r="J273" s="595">
        <f>MROUND($E273*(1+$E$677/100)/2*$E$682/100/$G273,0.05)</f>
        <v>51.300000000000004</v>
      </c>
      <c r="K273" s="600">
        <f>MROUND($E273*(1+$E$677/100)/2*$E$678/100/$G273,0.05)</f>
        <v>359.1</v>
      </c>
      <c r="L273" s="601">
        <f t="shared" si="175"/>
        <v>970.05</v>
      </c>
      <c r="M273" s="691">
        <f>MROUND($E273*$H273/100/$F273,0.05)</f>
        <v>248.75</v>
      </c>
      <c r="N273" s="650">
        <f t="shared" si="176"/>
        <v>0</v>
      </c>
      <c r="O273" s="601">
        <f t="shared" si="177"/>
        <v>248.75</v>
      </c>
      <c r="P273" s="599">
        <f t="shared" si="178"/>
        <v>1218.8</v>
      </c>
      <c r="Q273" s="69"/>
      <c r="R273" s="69"/>
      <c r="S273" s="69"/>
      <c r="T273" s="903"/>
      <c r="U273" s="208">
        <v>118</v>
      </c>
      <c r="V273" s="69"/>
      <c r="W273" s="69"/>
      <c r="Y273" s="442"/>
    </row>
    <row r="274" spans="1:26">
      <c r="A274" s="310">
        <f t="shared" ref="A274" si="181">IF(ISNUMBER(E274),ROW(),"")</f>
        <v>274</v>
      </c>
      <c r="B274" s="262"/>
      <c r="C274" s="835" t="s">
        <v>807</v>
      </c>
      <c r="D274" s="153"/>
      <c r="E274" s="678">
        <v>1151750</v>
      </c>
      <c r="F274" s="629">
        <v>1500</v>
      </c>
      <c r="G274" s="629">
        <v>150</v>
      </c>
      <c r="H274" s="630">
        <v>40</v>
      </c>
      <c r="I274" s="594">
        <f>MROUND(E274*(1-$E$677/100)/F274,0.05)</f>
        <v>691.05000000000007</v>
      </c>
      <c r="J274" s="595">
        <f>MROUND($E274*(1+$E$677/100)/2*$E$682/100/$G274,0.05)</f>
        <v>63.35</v>
      </c>
      <c r="K274" s="600">
        <f>MROUND($E274*(1+$E$677/100)/2*$E$678/100/$G274,0.05)</f>
        <v>443.40000000000003</v>
      </c>
      <c r="L274" s="601">
        <f t="shared" si="175"/>
        <v>1197.8000000000002</v>
      </c>
      <c r="M274" s="691">
        <f>MROUND($E274*$H274/100/$F274,0.05)</f>
        <v>307.15000000000003</v>
      </c>
      <c r="N274" s="650">
        <f t="shared" si="176"/>
        <v>0</v>
      </c>
      <c r="O274" s="601">
        <f t="shared" si="177"/>
        <v>307.15000000000003</v>
      </c>
      <c r="P274" s="599">
        <f t="shared" si="178"/>
        <v>1504.9500000000003</v>
      </c>
      <c r="Q274" s="69"/>
      <c r="R274" s="69"/>
      <c r="S274" s="69"/>
      <c r="T274" s="903"/>
      <c r="U274" s="208">
        <v>118</v>
      </c>
      <c r="V274" s="69"/>
      <c r="W274" s="69"/>
      <c r="Y274" s="442"/>
    </row>
    <row r="275" spans="1:26">
      <c r="A275" s="156" t="str">
        <f t="shared" si="170"/>
        <v/>
      </c>
      <c r="C275" s="823"/>
      <c r="D275" s="170"/>
      <c r="E275" s="563"/>
      <c r="F275" s="692"/>
      <c r="G275" s="692"/>
      <c r="H275" s="692"/>
      <c r="I275" s="605"/>
      <c r="J275" s="606"/>
      <c r="K275" s="605"/>
      <c r="L275" s="607"/>
      <c r="M275" s="608"/>
      <c r="N275" s="608"/>
      <c r="O275" s="607"/>
      <c r="P275" s="609"/>
      <c r="U275" s="207"/>
      <c r="Y275" s="189"/>
    </row>
    <row r="276" spans="1:26">
      <c r="A276" s="156" t="str">
        <f t="shared" si="170"/>
        <v/>
      </c>
      <c r="B276" s="261"/>
      <c r="C276" s="725"/>
      <c r="D276" s="153"/>
      <c r="E276" s="557"/>
      <c r="F276" s="585"/>
      <c r="G276" s="585"/>
      <c r="H276" s="585"/>
      <c r="I276" s="585"/>
      <c r="J276" s="585"/>
      <c r="K276" s="585"/>
      <c r="L276" s="585"/>
      <c r="M276" s="175"/>
      <c r="N276" s="175"/>
      <c r="O276" s="175"/>
      <c r="P276" s="585"/>
      <c r="U276" s="201"/>
      <c r="Y276" s="189"/>
    </row>
    <row r="277" spans="1:26">
      <c r="A277" s="183"/>
      <c r="B277" s="261"/>
      <c r="C277" s="725"/>
      <c r="D277" s="153"/>
      <c r="E277" s="557"/>
      <c r="F277" s="585"/>
      <c r="G277" s="585"/>
      <c r="H277" s="585"/>
      <c r="I277" s="585"/>
      <c r="J277" s="585"/>
      <c r="K277" s="585"/>
      <c r="L277" s="585"/>
      <c r="M277" s="175"/>
      <c r="N277" s="175"/>
      <c r="O277" s="175"/>
      <c r="P277" s="585"/>
      <c r="U277" s="201"/>
      <c r="Y277" s="189"/>
    </row>
    <row r="278" spans="1:26" s="452" customFormat="1" ht="23.25" customHeight="1" thickBot="1">
      <c r="A278" s="31" t="str">
        <f t="shared" ref="A278:A279" si="182">IF(ISNUMBER(E278),ROW(),"")</f>
        <v/>
      </c>
      <c r="B278" s="287">
        <f>ROUNDDOWN(MAX($B$8:B277),0)+1</f>
        <v>9</v>
      </c>
      <c r="C278" s="724" t="s">
        <v>387</v>
      </c>
      <c r="D278" s="301"/>
      <c r="E278" s="558"/>
      <c r="F278" s="297"/>
      <c r="G278" s="297"/>
      <c r="H278" s="297"/>
      <c r="I278" s="579"/>
      <c r="J278" s="579"/>
      <c r="K278" s="579"/>
      <c r="L278" s="579"/>
      <c r="M278" s="298"/>
      <c r="N278" s="298"/>
      <c r="O278" s="298"/>
      <c r="P278" s="299"/>
      <c r="Q278" s="158"/>
      <c r="R278" s="158"/>
      <c r="S278" s="158"/>
      <c r="T278" s="902"/>
      <c r="U278" s="305"/>
      <c r="V278" s="158"/>
      <c r="W278" s="158"/>
      <c r="X278" s="159"/>
      <c r="Y278" s="160"/>
      <c r="Z278" s="161"/>
    </row>
    <row r="279" spans="1:26">
      <c r="A279" s="183" t="str">
        <f t="shared" si="182"/>
        <v/>
      </c>
      <c r="B279" s="261"/>
      <c r="C279" s="725"/>
      <c r="D279" s="153"/>
      <c r="E279" s="557"/>
      <c r="F279" s="585"/>
      <c r="G279" s="585"/>
      <c r="H279" s="585"/>
      <c r="I279" s="585"/>
      <c r="J279" s="585"/>
      <c r="K279" s="585"/>
      <c r="L279" s="585"/>
      <c r="M279" s="175"/>
      <c r="N279" s="175"/>
      <c r="O279" s="175"/>
      <c r="P279" s="585"/>
      <c r="U279" s="201"/>
      <c r="Y279" s="189"/>
    </row>
    <row r="280" spans="1:26" s="187" customFormat="1" ht="13.5" thickBot="1">
      <c r="A280" s="183" t="str">
        <f t="shared" ref="A280:A289" si="183">IF(ISNUMBER(E280),ROW(),"")</f>
        <v/>
      </c>
      <c r="B280" s="266">
        <f>MAX($B$8:B279)+0.01</f>
        <v>9.01</v>
      </c>
      <c r="C280" s="834" t="s">
        <v>613</v>
      </c>
      <c r="D280" s="95"/>
      <c r="E280" s="714"/>
      <c r="F280" s="693"/>
      <c r="G280" s="693"/>
      <c r="H280" s="695"/>
      <c r="I280" s="695"/>
      <c r="J280" s="695"/>
      <c r="K280" s="695"/>
      <c r="L280" s="695"/>
      <c r="M280" s="695"/>
      <c r="N280" s="695"/>
      <c r="O280" s="695"/>
      <c r="P280" s="697" t="s">
        <v>398</v>
      </c>
      <c r="Q280" s="152"/>
      <c r="R280" s="152"/>
      <c r="S280" s="152"/>
      <c r="T280" s="901"/>
      <c r="U280" s="204"/>
      <c r="V280" s="152"/>
      <c r="W280" s="152"/>
      <c r="X280" s="78"/>
      <c r="Y280" s="189"/>
      <c r="Z280" s="80"/>
    </row>
    <row r="281" spans="1:26" s="187" customFormat="1">
      <c r="A281" s="183" t="str">
        <f t="shared" si="183"/>
        <v/>
      </c>
      <c r="B281" s="264"/>
      <c r="C281" s="820"/>
      <c r="D281" s="153"/>
      <c r="E281" s="710"/>
      <c r="F281" s="690"/>
      <c r="G281" s="690"/>
      <c r="H281" s="175"/>
      <c r="I281" s="175"/>
      <c r="J281" s="175"/>
      <c r="K281" s="175"/>
      <c r="L281" s="175"/>
      <c r="M281" s="175"/>
      <c r="N281" s="175"/>
      <c r="O281" s="175"/>
      <c r="P281" s="704"/>
      <c r="T281" s="903"/>
      <c r="U281" s="205"/>
      <c r="V281" s="152"/>
      <c r="W281" s="152"/>
      <c r="X281" s="78"/>
      <c r="Y281" s="189"/>
      <c r="Z281" s="80"/>
    </row>
    <row r="282" spans="1:26" s="187" customFormat="1">
      <c r="A282" s="183">
        <f t="shared" si="183"/>
        <v>282</v>
      </c>
      <c r="B282" s="264"/>
      <c r="C282" s="726" t="s">
        <v>913</v>
      </c>
      <c r="D282" s="153"/>
      <c r="E282" s="678">
        <v>462250</v>
      </c>
      <c r="F282" s="648">
        <v>2000</v>
      </c>
      <c r="G282" s="648">
        <v>200</v>
      </c>
      <c r="H282" s="649">
        <v>80</v>
      </c>
      <c r="I282" s="594">
        <f t="shared" ref="I282:I287" si="184">MROUND(E282*(1-$E$677/100)/F282,0.05)</f>
        <v>208</v>
      </c>
      <c r="J282" s="595">
        <f t="shared" ref="J282:J287" si="185">MROUND($E282*(1+$E$677/100)/2*$E$682/100/$G282,0.05)</f>
        <v>19.05</v>
      </c>
      <c r="K282" s="600">
        <f t="shared" ref="K282:K287" si="186">MROUND($E282*(1+$E$677/100)/2*$E$678/100/$G282,0.05)</f>
        <v>133.45000000000002</v>
      </c>
      <c r="L282" s="601">
        <f t="shared" ref="L282:L287" si="187">SUM(I282:K282)</f>
        <v>360.5</v>
      </c>
      <c r="M282" s="691">
        <f t="shared" ref="M282:M287" si="188">MROUND($E282*$H282/100/$F282,0.05)</f>
        <v>184.9</v>
      </c>
      <c r="N282" s="650">
        <f t="shared" ref="N282:N287" si="189">MROUND(Y282*Z282,0.05)</f>
        <v>0</v>
      </c>
      <c r="O282" s="601">
        <f t="shared" ref="O282:O287" si="190">SUM(M282:N282)</f>
        <v>184.9</v>
      </c>
      <c r="P282" s="599">
        <f t="shared" ref="P282:P287" si="191">O282+L282</f>
        <v>545.4</v>
      </c>
      <c r="T282" s="903"/>
      <c r="U282" s="208">
        <v>60</v>
      </c>
      <c r="V282" s="152"/>
      <c r="W282" s="152"/>
      <c r="X282" s="78"/>
      <c r="Y282" s="189"/>
      <c r="Z282" s="80"/>
    </row>
    <row r="283" spans="1:26" s="187" customFormat="1">
      <c r="A283" s="183">
        <f t="shared" si="183"/>
        <v>283</v>
      </c>
      <c r="B283" s="264"/>
      <c r="C283" s="726" t="s">
        <v>914</v>
      </c>
      <c r="D283" s="153"/>
      <c r="E283" s="678">
        <v>487500</v>
      </c>
      <c r="F283" s="648">
        <v>2000</v>
      </c>
      <c r="G283" s="648">
        <v>200</v>
      </c>
      <c r="H283" s="649">
        <v>80</v>
      </c>
      <c r="I283" s="594">
        <f t="shared" si="184"/>
        <v>219.4</v>
      </c>
      <c r="J283" s="595">
        <f t="shared" si="185"/>
        <v>20.100000000000001</v>
      </c>
      <c r="K283" s="600">
        <f t="shared" si="186"/>
        <v>140.75</v>
      </c>
      <c r="L283" s="601">
        <f t="shared" si="187"/>
        <v>380.25</v>
      </c>
      <c r="M283" s="691">
        <f t="shared" si="188"/>
        <v>195</v>
      </c>
      <c r="N283" s="650">
        <f t="shared" si="189"/>
        <v>0</v>
      </c>
      <c r="O283" s="601">
        <f t="shared" si="190"/>
        <v>195</v>
      </c>
      <c r="P283" s="599">
        <f t="shared" si="191"/>
        <v>575.25</v>
      </c>
      <c r="T283" s="903"/>
      <c r="U283" s="208">
        <v>75</v>
      </c>
      <c r="V283" s="152"/>
      <c r="W283" s="152"/>
      <c r="X283" s="78"/>
      <c r="Y283" s="189"/>
      <c r="Z283" s="80"/>
    </row>
    <row r="284" spans="1:26" s="187" customFormat="1">
      <c r="A284" s="183">
        <f t="shared" si="183"/>
        <v>284</v>
      </c>
      <c r="B284" s="264"/>
      <c r="C284" s="726" t="s">
        <v>915</v>
      </c>
      <c r="D284" s="153"/>
      <c r="E284" s="678">
        <v>517500</v>
      </c>
      <c r="F284" s="648">
        <v>2000</v>
      </c>
      <c r="G284" s="648">
        <v>200</v>
      </c>
      <c r="H284" s="649">
        <v>80</v>
      </c>
      <c r="I284" s="594">
        <f t="shared" si="184"/>
        <v>232.9</v>
      </c>
      <c r="J284" s="595">
        <f t="shared" si="185"/>
        <v>21.35</v>
      </c>
      <c r="K284" s="600">
        <f t="shared" si="186"/>
        <v>149.45000000000002</v>
      </c>
      <c r="L284" s="601">
        <f t="shared" si="187"/>
        <v>403.70000000000005</v>
      </c>
      <c r="M284" s="691">
        <f t="shared" si="188"/>
        <v>207</v>
      </c>
      <c r="N284" s="650">
        <f t="shared" si="189"/>
        <v>0</v>
      </c>
      <c r="O284" s="601">
        <f t="shared" si="190"/>
        <v>207</v>
      </c>
      <c r="P284" s="599">
        <f t="shared" si="191"/>
        <v>610.70000000000005</v>
      </c>
      <c r="T284" s="903"/>
      <c r="U284" s="208">
        <v>90</v>
      </c>
      <c r="V284" s="152"/>
      <c r="W284" s="152"/>
      <c r="X284" s="78"/>
      <c r="Y284" s="189"/>
      <c r="Z284" s="80"/>
    </row>
    <row r="285" spans="1:26" s="187" customFormat="1">
      <c r="A285" s="310">
        <f t="shared" ref="A285" si="192">IF(ISNUMBER(E285),ROW(),"")</f>
        <v>285</v>
      </c>
      <c r="B285" s="264"/>
      <c r="C285" s="726" t="s">
        <v>916</v>
      </c>
      <c r="D285" s="153"/>
      <c r="E285" s="678">
        <v>549750</v>
      </c>
      <c r="F285" s="648">
        <v>2000</v>
      </c>
      <c r="G285" s="648">
        <v>200</v>
      </c>
      <c r="H285" s="649">
        <v>80</v>
      </c>
      <c r="I285" s="594">
        <f t="shared" si="184"/>
        <v>247.4</v>
      </c>
      <c r="J285" s="595">
        <f t="shared" si="185"/>
        <v>22.700000000000003</v>
      </c>
      <c r="K285" s="600">
        <f t="shared" si="186"/>
        <v>158.75</v>
      </c>
      <c r="L285" s="601">
        <f t="shared" si="187"/>
        <v>428.85</v>
      </c>
      <c r="M285" s="691">
        <f t="shared" si="188"/>
        <v>219.9</v>
      </c>
      <c r="N285" s="650">
        <f t="shared" si="189"/>
        <v>0</v>
      </c>
      <c r="O285" s="601">
        <f t="shared" si="190"/>
        <v>219.9</v>
      </c>
      <c r="P285" s="599">
        <f t="shared" si="191"/>
        <v>648.75</v>
      </c>
      <c r="T285" s="903"/>
      <c r="U285" s="208">
        <v>105</v>
      </c>
      <c r="V285" s="152"/>
      <c r="W285" s="152"/>
      <c r="X285" s="78"/>
      <c r="Y285" s="443"/>
      <c r="Z285" s="80"/>
    </row>
    <row r="286" spans="1:26" s="187" customFormat="1">
      <c r="A286" s="183">
        <f t="shared" si="183"/>
        <v>286</v>
      </c>
      <c r="B286" s="264"/>
      <c r="C286" s="726" t="s">
        <v>917</v>
      </c>
      <c r="D286" s="153"/>
      <c r="E286" s="678">
        <v>750750</v>
      </c>
      <c r="F286" s="648">
        <v>2000</v>
      </c>
      <c r="G286" s="648">
        <v>200</v>
      </c>
      <c r="H286" s="649">
        <v>80</v>
      </c>
      <c r="I286" s="594">
        <f t="shared" si="184"/>
        <v>337.85</v>
      </c>
      <c r="J286" s="595">
        <f t="shared" si="185"/>
        <v>30.950000000000003</v>
      </c>
      <c r="K286" s="600">
        <f t="shared" si="186"/>
        <v>216.8</v>
      </c>
      <c r="L286" s="601">
        <f t="shared" si="187"/>
        <v>585.6</v>
      </c>
      <c r="M286" s="691">
        <f t="shared" si="188"/>
        <v>300.3</v>
      </c>
      <c r="N286" s="650">
        <f t="shared" si="189"/>
        <v>0</v>
      </c>
      <c r="O286" s="601">
        <f t="shared" si="190"/>
        <v>300.3</v>
      </c>
      <c r="P286" s="599">
        <f t="shared" si="191"/>
        <v>885.90000000000009</v>
      </c>
      <c r="T286" s="903"/>
      <c r="U286" s="208">
        <v>120</v>
      </c>
      <c r="V286" s="152"/>
      <c r="W286" s="152"/>
      <c r="X286" s="78"/>
      <c r="Y286" s="189"/>
      <c r="Z286" s="80"/>
    </row>
    <row r="287" spans="1:26" s="187" customFormat="1">
      <c r="A287" s="183">
        <f t="shared" si="183"/>
        <v>287</v>
      </c>
      <c r="B287" s="264"/>
      <c r="C287" s="726" t="s">
        <v>918</v>
      </c>
      <c r="D287" s="153"/>
      <c r="E287" s="678">
        <v>835500</v>
      </c>
      <c r="F287" s="648">
        <v>2000</v>
      </c>
      <c r="G287" s="648">
        <v>200</v>
      </c>
      <c r="H287" s="649">
        <v>80</v>
      </c>
      <c r="I287" s="594">
        <f t="shared" si="184"/>
        <v>376</v>
      </c>
      <c r="J287" s="595">
        <f t="shared" si="185"/>
        <v>34.450000000000003</v>
      </c>
      <c r="K287" s="600">
        <f t="shared" si="186"/>
        <v>241.25</v>
      </c>
      <c r="L287" s="601">
        <f t="shared" si="187"/>
        <v>651.70000000000005</v>
      </c>
      <c r="M287" s="691">
        <f t="shared" si="188"/>
        <v>334.20000000000005</v>
      </c>
      <c r="N287" s="650">
        <f t="shared" si="189"/>
        <v>0</v>
      </c>
      <c r="O287" s="601">
        <f t="shared" si="190"/>
        <v>334.20000000000005</v>
      </c>
      <c r="P287" s="599">
        <f t="shared" si="191"/>
        <v>985.90000000000009</v>
      </c>
      <c r="T287" s="903"/>
      <c r="U287" s="208">
        <v>135</v>
      </c>
      <c r="V287" s="152"/>
      <c r="W287" s="152"/>
      <c r="X287" s="78"/>
      <c r="Y287" s="189"/>
      <c r="Z287" s="80"/>
    </row>
    <row r="288" spans="1:26" s="187" customFormat="1">
      <c r="A288" s="183" t="str">
        <f t="shared" si="183"/>
        <v/>
      </c>
      <c r="B288" s="265"/>
      <c r="C288" s="823"/>
      <c r="D288" s="170"/>
      <c r="E288" s="717"/>
      <c r="F288" s="705"/>
      <c r="G288" s="705"/>
      <c r="H288" s="705"/>
      <c r="I288" s="608"/>
      <c r="J288" s="706"/>
      <c r="K288" s="608"/>
      <c r="L288" s="607"/>
      <c r="M288" s="608"/>
      <c r="N288" s="608"/>
      <c r="O288" s="607"/>
      <c r="P288" s="609"/>
      <c r="Q288" s="152"/>
      <c r="R288" s="152"/>
      <c r="S288" s="152"/>
      <c r="T288" s="901"/>
      <c r="U288" s="207"/>
      <c r="V288" s="152"/>
      <c r="W288" s="152"/>
      <c r="X288" s="78"/>
      <c r="Y288" s="189"/>
      <c r="Z288" s="80"/>
    </row>
    <row r="289" spans="1:26" s="187" customFormat="1">
      <c r="A289" s="183" t="str">
        <f t="shared" si="183"/>
        <v/>
      </c>
      <c r="B289" s="264"/>
      <c r="C289" s="725"/>
      <c r="D289" s="153"/>
      <c r="E289" s="718"/>
      <c r="F289" s="175"/>
      <c r="G289" s="175"/>
      <c r="H289" s="175"/>
      <c r="I289" s="175"/>
      <c r="J289" s="175"/>
      <c r="K289" s="175"/>
      <c r="L289" s="175"/>
      <c r="M289" s="175"/>
      <c r="N289" s="175"/>
      <c r="O289" s="175"/>
      <c r="P289" s="175"/>
      <c r="Q289" s="152"/>
      <c r="R289" s="152"/>
      <c r="S289" s="152"/>
      <c r="T289" s="901"/>
      <c r="U289" s="201"/>
      <c r="V289" s="152"/>
      <c r="W289" s="152"/>
      <c r="X289" s="78"/>
      <c r="Y289" s="189"/>
      <c r="Z289" s="80"/>
    </row>
    <row r="290" spans="1:26" ht="13.5" thickBot="1">
      <c r="A290" s="156" t="str">
        <f t="shared" ref="A290:A320" si="193">IF(ISNUMBER(E290),ROW(),"")</f>
        <v/>
      </c>
      <c r="B290" s="266">
        <f>MAX($B$8:B289)+0.01</f>
        <v>9.02</v>
      </c>
      <c r="C290" s="834" t="s">
        <v>742</v>
      </c>
      <c r="D290" s="95"/>
      <c r="E290" s="714"/>
      <c r="F290" s="693"/>
      <c r="G290" s="693"/>
      <c r="H290" s="694"/>
      <c r="I290" s="694"/>
      <c r="J290" s="694"/>
      <c r="K290" s="694"/>
      <c r="L290" s="694"/>
      <c r="M290" s="695"/>
      <c r="N290" s="695"/>
      <c r="O290" s="695"/>
      <c r="P290" s="697" t="s">
        <v>310</v>
      </c>
      <c r="U290" s="204"/>
      <c r="Y290" s="189"/>
    </row>
    <row r="291" spans="1:26">
      <c r="A291" s="156" t="str">
        <f t="shared" si="193"/>
        <v/>
      </c>
      <c r="B291" s="261"/>
      <c r="C291" s="820"/>
      <c r="D291" s="153"/>
      <c r="E291" s="710"/>
      <c r="F291" s="690"/>
      <c r="G291" s="690"/>
      <c r="H291" s="585"/>
      <c r="I291" s="585"/>
      <c r="J291" s="585"/>
      <c r="K291" s="585"/>
      <c r="L291" s="585"/>
      <c r="M291" s="175"/>
      <c r="N291" s="175"/>
      <c r="O291" s="175"/>
      <c r="P291" s="586"/>
      <c r="Q291" s="69"/>
      <c r="R291" s="69"/>
      <c r="S291" s="69"/>
      <c r="T291" s="903"/>
      <c r="U291" s="205"/>
      <c r="Y291" s="189"/>
    </row>
    <row r="292" spans="1:26">
      <c r="A292" s="156">
        <f t="shared" si="193"/>
        <v>292</v>
      </c>
      <c r="B292" s="262"/>
      <c r="C292" s="726" t="s">
        <v>811</v>
      </c>
      <c r="D292" s="153"/>
      <c r="E292" s="678">
        <v>912750</v>
      </c>
      <c r="F292" s="629">
        <v>2000</v>
      </c>
      <c r="G292" s="629">
        <v>200</v>
      </c>
      <c r="H292" s="630">
        <v>80</v>
      </c>
      <c r="I292" s="594">
        <f t="shared" ref="I292:I302" si="194">MROUND(E292*(1-$E$677/100)/F292,0.05)</f>
        <v>410.75</v>
      </c>
      <c r="J292" s="595">
        <f t="shared" ref="J292:J302" si="195">MROUND($E292*(1+$E$677/100)/2*$E$682/100/$G292,0.05)</f>
        <v>37.65</v>
      </c>
      <c r="K292" s="600">
        <f t="shared" ref="K292:K302" si="196">MROUND($E292*(1+$E$677/100)/2*$E$678/100/$G292,0.05)</f>
        <v>263.55</v>
      </c>
      <c r="L292" s="601">
        <f t="shared" ref="L292:L319" si="197">SUM(I292:K292)</f>
        <v>711.95</v>
      </c>
      <c r="M292" s="691">
        <f t="shared" ref="M292:M319" si="198">MROUND($E292*$H292/100/$F292,0.05)</f>
        <v>365.1</v>
      </c>
      <c r="N292" s="650">
        <f t="shared" ref="N292:N319" si="199">MROUND(Y292*Z292,0.05)</f>
        <v>0</v>
      </c>
      <c r="O292" s="601">
        <f t="shared" ref="O292:O319" si="200">SUM(M292:N292)</f>
        <v>365.1</v>
      </c>
      <c r="P292" s="599">
        <f t="shared" ref="P292:P319" si="201">O292+L292</f>
        <v>1077.0500000000002</v>
      </c>
      <c r="Q292" s="69"/>
      <c r="R292" s="69"/>
      <c r="S292" s="69"/>
      <c r="T292" s="903"/>
      <c r="U292" s="208" t="s">
        <v>311</v>
      </c>
      <c r="V292" s="69"/>
      <c r="W292" s="69"/>
      <c r="Y292" s="189"/>
    </row>
    <row r="293" spans="1:26">
      <c r="A293" s="156">
        <f t="shared" si="193"/>
        <v>293</v>
      </c>
      <c r="B293" s="262"/>
      <c r="C293" s="726" t="s">
        <v>812</v>
      </c>
      <c r="D293" s="153"/>
      <c r="E293" s="678">
        <v>964250</v>
      </c>
      <c r="F293" s="629">
        <v>2000</v>
      </c>
      <c r="G293" s="629">
        <v>200</v>
      </c>
      <c r="H293" s="630">
        <v>80</v>
      </c>
      <c r="I293" s="594">
        <f t="shared" si="194"/>
        <v>433.90000000000003</v>
      </c>
      <c r="J293" s="595">
        <f t="shared" si="195"/>
        <v>39.800000000000004</v>
      </c>
      <c r="K293" s="600">
        <f t="shared" si="196"/>
        <v>278.45</v>
      </c>
      <c r="L293" s="601">
        <f t="shared" si="197"/>
        <v>752.15000000000009</v>
      </c>
      <c r="M293" s="691">
        <f t="shared" si="198"/>
        <v>385.70000000000005</v>
      </c>
      <c r="N293" s="650">
        <f t="shared" si="199"/>
        <v>0</v>
      </c>
      <c r="O293" s="601">
        <f t="shared" si="200"/>
        <v>385.70000000000005</v>
      </c>
      <c r="P293" s="599">
        <f t="shared" si="201"/>
        <v>1137.8500000000001</v>
      </c>
      <c r="Q293" s="69"/>
      <c r="R293" s="69"/>
      <c r="S293" s="69"/>
      <c r="T293" s="903"/>
      <c r="U293" s="208" t="s">
        <v>312</v>
      </c>
      <c r="V293" s="69"/>
      <c r="W293" s="69"/>
      <c r="Y293" s="189"/>
    </row>
    <row r="294" spans="1:26">
      <c r="A294" s="156">
        <f t="shared" si="193"/>
        <v>294</v>
      </c>
      <c r="B294" s="262"/>
      <c r="C294" s="726" t="s">
        <v>813</v>
      </c>
      <c r="D294" s="153"/>
      <c r="E294" s="678">
        <v>1053500</v>
      </c>
      <c r="F294" s="629">
        <v>2000</v>
      </c>
      <c r="G294" s="629">
        <v>200</v>
      </c>
      <c r="H294" s="630">
        <v>80</v>
      </c>
      <c r="I294" s="594">
        <f t="shared" si="194"/>
        <v>474.1</v>
      </c>
      <c r="J294" s="595">
        <f t="shared" si="195"/>
        <v>43.45</v>
      </c>
      <c r="K294" s="600">
        <f t="shared" si="196"/>
        <v>304.2</v>
      </c>
      <c r="L294" s="601">
        <f t="shared" si="197"/>
        <v>821.75</v>
      </c>
      <c r="M294" s="691">
        <f t="shared" si="198"/>
        <v>421.40000000000003</v>
      </c>
      <c r="N294" s="650">
        <f t="shared" si="199"/>
        <v>0</v>
      </c>
      <c r="O294" s="601">
        <f t="shared" si="200"/>
        <v>421.40000000000003</v>
      </c>
      <c r="P294" s="599">
        <f t="shared" si="201"/>
        <v>1243.1500000000001</v>
      </c>
      <c r="Q294" s="69"/>
      <c r="R294" s="69"/>
      <c r="S294" s="69"/>
      <c r="T294" s="903"/>
      <c r="U294" s="208" t="s">
        <v>313</v>
      </c>
      <c r="V294" s="69"/>
      <c r="W294" s="69"/>
      <c r="Y294" s="189"/>
    </row>
    <row r="295" spans="1:26">
      <c r="A295" s="156">
        <f t="shared" si="193"/>
        <v>295</v>
      </c>
      <c r="B295" s="262"/>
      <c r="C295" s="726" t="s">
        <v>814</v>
      </c>
      <c r="D295" s="153"/>
      <c r="E295" s="678">
        <v>1128750</v>
      </c>
      <c r="F295" s="629">
        <v>2000</v>
      </c>
      <c r="G295" s="629">
        <v>200</v>
      </c>
      <c r="H295" s="630">
        <v>80</v>
      </c>
      <c r="I295" s="594">
        <f t="shared" si="194"/>
        <v>507.95000000000005</v>
      </c>
      <c r="J295" s="595">
        <f t="shared" si="195"/>
        <v>46.550000000000004</v>
      </c>
      <c r="K295" s="600">
        <f t="shared" si="196"/>
        <v>325.95000000000005</v>
      </c>
      <c r="L295" s="601">
        <f t="shared" si="197"/>
        <v>880.45</v>
      </c>
      <c r="M295" s="691">
        <f t="shared" si="198"/>
        <v>451.5</v>
      </c>
      <c r="N295" s="650">
        <f t="shared" si="199"/>
        <v>0</v>
      </c>
      <c r="O295" s="601">
        <f t="shared" si="200"/>
        <v>451.5</v>
      </c>
      <c r="P295" s="599">
        <f t="shared" si="201"/>
        <v>1331.95</v>
      </c>
      <c r="Q295" s="69"/>
      <c r="R295" s="69"/>
      <c r="S295" s="69"/>
      <c r="T295" s="903"/>
      <c r="U295" s="208" t="s">
        <v>314</v>
      </c>
      <c r="V295" s="69"/>
      <c r="W295" s="69"/>
      <c r="Y295" s="189"/>
    </row>
    <row r="296" spans="1:26">
      <c r="A296" s="156">
        <f t="shared" si="193"/>
        <v>296</v>
      </c>
      <c r="B296" s="262"/>
      <c r="C296" s="726" t="s">
        <v>815</v>
      </c>
      <c r="D296" s="153"/>
      <c r="E296" s="678">
        <v>1223250</v>
      </c>
      <c r="F296" s="629">
        <v>2000</v>
      </c>
      <c r="G296" s="629">
        <v>200</v>
      </c>
      <c r="H296" s="630">
        <v>80</v>
      </c>
      <c r="I296" s="594">
        <f t="shared" si="194"/>
        <v>550.45000000000005</v>
      </c>
      <c r="J296" s="595">
        <f t="shared" si="195"/>
        <v>50.45</v>
      </c>
      <c r="K296" s="600">
        <f t="shared" si="196"/>
        <v>353.20000000000005</v>
      </c>
      <c r="L296" s="601">
        <f t="shared" si="197"/>
        <v>954.10000000000014</v>
      </c>
      <c r="M296" s="691">
        <f t="shared" si="198"/>
        <v>489.3</v>
      </c>
      <c r="N296" s="650">
        <f t="shared" si="199"/>
        <v>0</v>
      </c>
      <c r="O296" s="601">
        <f t="shared" si="200"/>
        <v>489.3</v>
      </c>
      <c r="P296" s="599">
        <f t="shared" si="201"/>
        <v>1443.4</v>
      </c>
      <c r="Q296" s="69"/>
      <c r="R296" s="69"/>
      <c r="S296" s="69"/>
      <c r="T296" s="903"/>
      <c r="U296" s="208" t="s">
        <v>315</v>
      </c>
      <c r="V296" s="69"/>
      <c r="W296" s="69"/>
      <c r="Y296" s="189"/>
    </row>
    <row r="297" spans="1:26">
      <c r="A297" s="156">
        <f t="shared" si="193"/>
        <v>297</v>
      </c>
      <c r="B297" s="262"/>
      <c r="C297" s="726" t="s">
        <v>816</v>
      </c>
      <c r="D297" s="153"/>
      <c r="E297" s="678">
        <v>1406000</v>
      </c>
      <c r="F297" s="629">
        <v>2000</v>
      </c>
      <c r="G297" s="629">
        <v>200</v>
      </c>
      <c r="H297" s="630">
        <v>80</v>
      </c>
      <c r="I297" s="594">
        <f t="shared" si="194"/>
        <v>632.70000000000005</v>
      </c>
      <c r="J297" s="595">
        <f t="shared" si="195"/>
        <v>58</v>
      </c>
      <c r="K297" s="600">
        <f t="shared" si="196"/>
        <v>406</v>
      </c>
      <c r="L297" s="601">
        <f t="shared" si="197"/>
        <v>1096.7</v>
      </c>
      <c r="M297" s="691">
        <f t="shared" si="198"/>
        <v>562.4</v>
      </c>
      <c r="N297" s="650">
        <f t="shared" si="199"/>
        <v>0</v>
      </c>
      <c r="O297" s="601">
        <f t="shared" si="200"/>
        <v>562.4</v>
      </c>
      <c r="P297" s="599">
        <f t="shared" si="201"/>
        <v>1659.1</v>
      </c>
      <c r="Q297" s="69"/>
      <c r="R297" s="69"/>
      <c r="S297" s="69"/>
      <c r="T297" s="903"/>
      <c r="U297" s="208" t="s">
        <v>316</v>
      </c>
      <c r="V297" s="69"/>
      <c r="W297" s="69"/>
      <c r="Y297" s="189"/>
    </row>
    <row r="298" spans="1:26">
      <c r="A298" s="156">
        <f t="shared" si="193"/>
        <v>298</v>
      </c>
      <c r="B298" s="262"/>
      <c r="C298" s="726" t="s">
        <v>817</v>
      </c>
      <c r="D298" s="153"/>
      <c r="E298" s="678">
        <v>1434250</v>
      </c>
      <c r="F298" s="629">
        <v>2000</v>
      </c>
      <c r="G298" s="629">
        <v>200</v>
      </c>
      <c r="H298" s="630">
        <v>80</v>
      </c>
      <c r="I298" s="594">
        <f t="shared" si="194"/>
        <v>645.40000000000009</v>
      </c>
      <c r="J298" s="595">
        <f t="shared" si="195"/>
        <v>59.150000000000006</v>
      </c>
      <c r="K298" s="600">
        <f t="shared" si="196"/>
        <v>414.15000000000003</v>
      </c>
      <c r="L298" s="601">
        <f t="shared" si="197"/>
        <v>1118.7</v>
      </c>
      <c r="M298" s="691">
        <f t="shared" si="198"/>
        <v>573.70000000000005</v>
      </c>
      <c r="N298" s="650">
        <f t="shared" si="199"/>
        <v>0</v>
      </c>
      <c r="O298" s="601">
        <f t="shared" si="200"/>
        <v>573.70000000000005</v>
      </c>
      <c r="P298" s="599">
        <f t="shared" si="201"/>
        <v>1692.4</v>
      </c>
      <c r="Q298" s="69"/>
      <c r="R298" s="69"/>
      <c r="S298" s="69"/>
      <c r="T298" s="903"/>
      <c r="U298" s="208" t="s">
        <v>317</v>
      </c>
      <c r="V298" s="69"/>
      <c r="W298" s="69"/>
      <c r="Y298" s="189"/>
    </row>
    <row r="299" spans="1:26">
      <c r="A299" s="156">
        <f t="shared" si="193"/>
        <v>299</v>
      </c>
      <c r="B299" s="262"/>
      <c r="C299" s="726" t="s">
        <v>818</v>
      </c>
      <c r="D299" s="153"/>
      <c r="E299" s="678">
        <v>1535500</v>
      </c>
      <c r="F299" s="629">
        <v>2000</v>
      </c>
      <c r="G299" s="629">
        <v>200</v>
      </c>
      <c r="H299" s="630">
        <v>80</v>
      </c>
      <c r="I299" s="594">
        <f t="shared" si="194"/>
        <v>691</v>
      </c>
      <c r="J299" s="595">
        <f t="shared" si="195"/>
        <v>63.35</v>
      </c>
      <c r="K299" s="600">
        <f t="shared" si="196"/>
        <v>443.40000000000003</v>
      </c>
      <c r="L299" s="601">
        <f t="shared" si="197"/>
        <v>1197.75</v>
      </c>
      <c r="M299" s="691">
        <f t="shared" si="198"/>
        <v>614.20000000000005</v>
      </c>
      <c r="N299" s="650">
        <f t="shared" si="199"/>
        <v>0</v>
      </c>
      <c r="O299" s="601">
        <f t="shared" si="200"/>
        <v>614.20000000000005</v>
      </c>
      <c r="P299" s="599">
        <f t="shared" si="201"/>
        <v>1811.95</v>
      </c>
      <c r="Q299" s="69"/>
      <c r="R299" s="69"/>
      <c r="S299" s="69"/>
      <c r="T299" s="903"/>
      <c r="U299" s="208" t="s">
        <v>318</v>
      </c>
      <c r="V299" s="69"/>
      <c r="W299" s="69"/>
      <c r="Y299" s="189"/>
      <c r="Z299" s="69"/>
    </row>
    <row r="300" spans="1:26">
      <c r="A300" s="156">
        <f t="shared" si="193"/>
        <v>300</v>
      </c>
      <c r="B300" s="262"/>
      <c r="C300" s="726" t="s">
        <v>819</v>
      </c>
      <c r="D300" s="153"/>
      <c r="E300" s="678">
        <v>1576000</v>
      </c>
      <c r="F300" s="629">
        <v>2000</v>
      </c>
      <c r="G300" s="629">
        <v>200</v>
      </c>
      <c r="H300" s="630">
        <v>80</v>
      </c>
      <c r="I300" s="594">
        <f t="shared" si="194"/>
        <v>709.2</v>
      </c>
      <c r="J300" s="595">
        <f t="shared" si="195"/>
        <v>65</v>
      </c>
      <c r="K300" s="600">
        <f t="shared" si="196"/>
        <v>455.05</v>
      </c>
      <c r="L300" s="601">
        <f t="shared" si="197"/>
        <v>1229.25</v>
      </c>
      <c r="M300" s="691">
        <f t="shared" si="198"/>
        <v>630.40000000000009</v>
      </c>
      <c r="N300" s="650">
        <f t="shared" si="199"/>
        <v>0</v>
      </c>
      <c r="O300" s="601">
        <f t="shared" si="200"/>
        <v>630.40000000000009</v>
      </c>
      <c r="P300" s="599">
        <f t="shared" si="201"/>
        <v>1859.65</v>
      </c>
      <c r="Q300" s="69"/>
      <c r="R300" s="69"/>
      <c r="S300" s="69"/>
      <c r="T300" s="903"/>
      <c r="U300" s="208" t="s">
        <v>319</v>
      </c>
      <c r="V300" s="69"/>
      <c r="W300" s="69"/>
      <c r="Y300" s="189"/>
      <c r="Z300" s="69"/>
    </row>
    <row r="301" spans="1:26">
      <c r="A301" s="156">
        <f t="shared" si="193"/>
        <v>301</v>
      </c>
      <c r="B301" s="262"/>
      <c r="C301" s="726" t="s">
        <v>820</v>
      </c>
      <c r="D301" s="153"/>
      <c r="E301" s="678">
        <v>1617500</v>
      </c>
      <c r="F301" s="629">
        <v>2000</v>
      </c>
      <c r="G301" s="629">
        <v>200</v>
      </c>
      <c r="H301" s="630">
        <v>80</v>
      </c>
      <c r="I301" s="594">
        <f t="shared" si="194"/>
        <v>727.90000000000009</v>
      </c>
      <c r="J301" s="595">
        <f t="shared" si="195"/>
        <v>66.7</v>
      </c>
      <c r="K301" s="600">
        <f t="shared" si="196"/>
        <v>467.05</v>
      </c>
      <c r="L301" s="601">
        <f t="shared" si="197"/>
        <v>1261.6500000000001</v>
      </c>
      <c r="M301" s="691">
        <f t="shared" si="198"/>
        <v>647</v>
      </c>
      <c r="N301" s="650">
        <f t="shared" si="199"/>
        <v>0</v>
      </c>
      <c r="O301" s="601">
        <f t="shared" si="200"/>
        <v>647</v>
      </c>
      <c r="P301" s="599">
        <f t="shared" si="201"/>
        <v>1908.65</v>
      </c>
      <c r="Q301" s="69"/>
      <c r="R301" s="69"/>
      <c r="S301" s="69"/>
      <c r="T301" s="903"/>
      <c r="U301" s="208" t="s">
        <v>320</v>
      </c>
      <c r="V301" s="69"/>
      <c r="W301" s="69"/>
      <c r="Y301" s="189"/>
      <c r="Z301" s="69"/>
    </row>
    <row r="302" spans="1:26">
      <c r="A302" s="156">
        <f t="shared" si="193"/>
        <v>302</v>
      </c>
      <c r="B302" s="262"/>
      <c r="C302" s="726" t="s">
        <v>821</v>
      </c>
      <c r="D302" s="153"/>
      <c r="E302" s="678">
        <v>1687000</v>
      </c>
      <c r="F302" s="629">
        <v>2000</v>
      </c>
      <c r="G302" s="629">
        <v>200</v>
      </c>
      <c r="H302" s="630">
        <v>80</v>
      </c>
      <c r="I302" s="594">
        <f t="shared" si="194"/>
        <v>759.15000000000009</v>
      </c>
      <c r="J302" s="595">
        <f t="shared" si="195"/>
        <v>69.600000000000009</v>
      </c>
      <c r="K302" s="600">
        <f t="shared" si="196"/>
        <v>487.1</v>
      </c>
      <c r="L302" s="601">
        <f t="shared" si="197"/>
        <v>1315.8500000000001</v>
      </c>
      <c r="M302" s="691">
        <f t="shared" si="198"/>
        <v>674.80000000000007</v>
      </c>
      <c r="N302" s="650">
        <f t="shared" si="199"/>
        <v>0</v>
      </c>
      <c r="O302" s="601">
        <f t="shared" si="200"/>
        <v>674.80000000000007</v>
      </c>
      <c r="P302" s="599">
        <f t="shared" si="201"/>
        <v>1990.65</v>
      </c>
      <c r="Q302" s="69"/>
      <c r="R302" s="69"/>
      <c r="S302" s="69"/>
      <c r="T302" s="903"/>
      <c r="U302" s="208" t="s">
        <v>321</v>
      </c>
      <c r="V302" s="69"/>
      <c r="W302" s="69"/>
      <c r="Y302" s="189"/>
      <c r="Z302" s="69"/>
    </row>
    <row r="303" spans="1:26">
      <c r="A303" s="310"/>
      <c r="B303" s="262"/>
      <c r="C303" s="726" t="s">
        <v>1515</v>
      </c>
      <c r="D303" s="153"/>
      <c r="E303" s="790"/>
      <c r="F303" s="629"/>
      <c r="G303" s="629"/>
      <c r="H303" s="629"/>
      <c r="I303" s="594"/>
      <c r="J303" s="595"/>
      <c r="K303" s="594"/>
      <c r="L303" s="596"/>
      <c r="M303" s="598"/>
      <c r="N303" s="598"/>
      <c r="O303" s="596"/>
      <c r="P303" s="599"/>
      <c r="Q303" s="69"/>
      <c r="R303" s="69"/>
      <c r="S303" s="69"/>
      <c r="T303" s="903"/>
      <c r="U303" s="208"/>
      <c r="V303" s="69"/>
      <c r="W303" s="69"/>
      <c r="Y303" s="772"/>
      <c r="Z303" s="69"/>
    </row>
    <row r="304" spans="1:26" s="187" customFormat="1">
      <c r="A304" s="310" t="str">
        <f t="shared" si="193"/>
        <v/>
      </c>
      <c r="B304" s="265"/>
      <c r="C304" s="823"/>
      <c r="D304" s="170"/>
      <c r="E304" s="717"/>
      <c r="F304" s="705"/>
      <c r="G304" s="705"/>
      <c r="H304" s="705"/>
      <c r="I304" s="608"/>
      <c r="J304" s="706"/>
      <c r="K304" s="608"/>
      <c r="L304" s="607"/>
      <c r="M304" s="608"/>
      <c r="N304" s="608"/>
      <c r="O304" s="607"/>
      <c r="P304" s="609"/>
      <c r="Q304" s="152"/>
      <c r="R304" s="152"/>
      <c r="S304" s="152"/>
      <c r="T304" s="901"/>
      <c r="U304" s="207"/>
      <c r="V304" s="152"/>
      <c r="W304" s="152"/>
      <c r="X304" s="78"/>
      <c r="Y304" s="772"/>
      <c r="Z304" s="80"/>
    </row>
    <row r="305" spans="1:26" s="187" customFormat="1">
      <c r="A305" s="310" t="str">
        <f t="shared" si="193"/>
        <v/>
      </c>
      <c r="B305" s="264"/>
      <c r="C305" s="725"/>
      <c r="D305" s="153"/>
      <c r="E305" s="718"/>
      <c r="F305" s="175"/>
      <c r="G305" s="175"/>
      <c r="H305" s="175"/>
      <c r="I305" s="175"/>
      <c r="J305" s="175"/>
      <c r="K305" s="175"/>
      <c r="L305" s="175"/>
      <c r="M305" s="175"/>
      <c r="N305" s="175"/>
      <c r="O305" s="175"/>
      <c r="P305" s="175"/>
      <c r="Q305" s="152"/>
      <c r="R305" s="152"/>
      <c r="S305" s="152"/>
      <c r="T305" s="901"/>
      <c r="U305" s="201"/>
      <c r="V305" s="152"/>
      <c r="W305" s="152"/>
      <c r="X305" s="78"/>
      <c r="Y305" s="772"/>
      <c r="Z305" s="80"/>
    </row>
    <row r="306" spans="1:26" ht="13.5" thickBot="1">
      <c r="A306" s="310" t="str">
        <f t="shared" ref="A306:A307" si="202">IF(ISNUMBER(E306),ROW(),"")</f>
        <v/>
      </c>
      <c r="B306" s="266" t="s">
        <v>1520</v>
      </c>
      <c r="C306" s="834" t="s">
        <v>1518</v>
      </c>
      <c r="D306" s="95"/>
      <c r="E306" s="714"/>
      <c r="F306" s="693"/>
      <c r="G306" s="693"/>
      <c r="H306" s="694"/>
      <c r="I306" s="694"/>
      <c r="J306" s="694"/>
      <c r="K306" s="694"/>
      <c r="L306" s="694"/>
      <c r="M306" s="695"/>
      <c r="N306" s="695"/>
      <c r="O306" s="695"/>
      <c r="P306" s="697" t="s">
        <v>310</v>
      </c>
      <c r="U306" s="204"/>
      <c r="Y306" s="772"/>
    </row>
    <row r="307" spans="1:26">
      <c r="A307" s="310" t="str">
        <f t="shared" si="202"/>
        <v/>
      </c>
      <c r="B307" s="261"/>
      <c r="C307" s="820"/>
      <c r="D307" s="153"/>
      <c r="E307" s="710"/>
      <c r="F307" s="690"/>
      <c r="G307" s="690"/>
      <c r="H307" s="585"/>
      <c r="I307" s="585"/>
      <c r="J307" s="585"/>
      <c r="K307" s="585"/>
      <c r="L307" s="585"/>
      <c r="M307" s="175"/>
      <c r="N307" s="175"/>
      <c r="O307" s="175"/>
      <c r="P307" s="586"/>
      <c r="Q307" s="69"/>
      <c r="R307" s="69"/>
      <c r="S307" s="69"/>
      <c r="T307" s="903"/>
      <c r="U307" s="205"/>
      <c r="Y307" s="772"/>
    </row>
    <row r="308" spans="1:26">
      <c r="A308" s="156">
        <f t="shared" si="193"/>
        <v>308</v>
      </c>
      <c r="B308" s="262"/>
      <c r="C308" s="726" t="s">
        <v>822</v>
      </c>
      <c r="D308" s="153"/>
      <c r="E308" s="678">
        <v>1776000</v>
      </c>
      <c r="F308" s="629">
        <v>2000</v>
      </c>
      <c r="G308" s="629">
        <v>200</v>
      </c>
      <c r="H308" s="630">
        <v>80</v>
      </c>
      <c r="I308" s="594">
        <f t="shared" ref="I308:I319" si="203">MROUND(E308*(1-$E$677/100)/F308,0.05)</f>
        <v>799.2</v>
      </c>
      <c r="J308" s="595">
        <f t="shared" ref="J308:J319" si="204">MROUND($E308*(1+$E$677/100)/2*$E$682/100/$G308,0.05)</f>
        <v>73.25</v>
      </c>
      <c r="K308" s="600">
        <f t="shared" ref="K308:K319" si="205">MROUND($E308*(1+$E$677/100)/2*$E$678/100/$G308,0.05)</f>
        <v>512.80000000000007</v>
      </c>
      <c r="L308" s="601">
        <f t="shared" si="197"/>
        <v>1385.25</v>
      </c>
      <c r="M308" s="691">
        <f t="shared" si="198"/>
        <v>710.40000000000009</v>
      </c>
      <c r="N308" s="650">
        <f t="shared" si="199"/>
        <v>0</v>
      </c>
      <c r="O308" s="601">
        <f t="shared" si="200"/>
        <v>710.40000000000009</v>
      </c>
      <c r="P308" s="599">
        <f t="shared" si="201"/>
        <v>2095.65</v>
      </c>
      <c r="Q308" s="69"/>
      <c r="R308" s="69"/>
      <c r="S308" s="69"/>
      <c r="T308" s="903"/>
      <c r="U308" s="208" t="s">
        <v>322</v>
      </c>
      <c r="V308" s="69"/>
      <c r="W308" s="69"/>
      <c r="Y308" s="189"/>
      <c r="Z308" s="69"/>
    </row>
    <row r="309" spans="1:26">
      <c r="A309" s="156">
        <f t="shared" si="193"/>
        <v>309</v>
      </c>
      <c r="B309" s="262"/>
      <c r="C309" s="726" t="s">
        <v>823</v>
      </c>
      <c r="D309" s="153"/>
      <c r="E309" s="678">
        <v>1805250</v>
      </c>
      <c r="F309" s="629">
        <v>2000</v>
      </c>
      <c r="G309" s="629">
        <v>200</v>
      </c>
      <c r="H309" s="630">
        <v>80</v>
      </c>
      <c r="I309" s="594">
        <f t="shared" si="203"/>
        <v>812.35</v>
      </c>
      <c r="J309" s="595">
        <f t="shared" si="204"/>
        <v>74.45</v>
      </c>
      <c r="K309" s="600">
        <f t="shared" si="205"/>
        <v>521.25</v>
      </c>
      <c r="L309" s="601">
        <f t="shared" si="197"/>
        <v>1408.0500000000002</v>
      </c>
      <c r="M309" s="691">
        <f t="shared" si="198"/>
        <v>722.1</v>
      </c>
      <c r="N309" s="650">
        <f t="shared" si="199"/>
        <v>0</v>
      </c>
      <c r="O309" s="601">
        <f t="shared" si="200"/>
        <v>722.1</v>
      </c>
      <c r="P309" s="599">
        <f t="shared" si="201"/>
        <v>2130.15</v>
      </c>
      <c r="Q309" s="69"/>
      <c r="R309" s="69"/>
      <c r="S309" s="69"/>
      <c r="T309" s="903"/>
      <c r="U309" s="208" t="s">
        <v>323</v>
      </c>
      <c r="V309" s="69"/>
      <c r="W309" s="69"/>
      <c r="Y309" s="189"/>
      <c r="Z309" s="69"/>
    </row>
    <row r="310" spans="1:26">
      <c r="A310" s="156">
        <f t="shared" si="193"/>
        <v>310</v>
      </c>
      <c r="B310" s="262"/>
      <c r="C310" s="726" t="s">
        <v>824</v>
      </c>
      <c r="D310" s="153"/>
      <c r="E310" s="678">
        <v>2070000</v>
      </c>
      <c r="F310" s="629">
        <v>2000</v>
      </c>
      <c r="G310" s="629">
        <v>200</v>
      </c>
      <c r="H310" s="630">
        <v>80</v>
      </c>
      <c r="I310" s="594">
        <f t="shared" si="203"/>
        <v>931.5</v>
      </c>
      <c r="J310" s="595">
        <f t="shared" si="204"/>
        <v>85.4</v>
      </c>
      <c r="K310" s="600">
        <f t="shared" si="205"/>
        <v>597.70000000000005</v>
      </c>
      <c r="L310" s="601">
        <f t="shared" si="197"/>
        <v>1614.6</v>
      </c>
      <c r="M310" s="691">
        <f t="shared" si="198"/>
        <v>828</v>
      </c>
      <c r="N310" s="650">
        <f t="shared" si="199"/>
        <v>0</v>
      </c>
      <c r="O310" s="601">
        <f t="shared" si="200"/>
        <v>828</v>
      </c>
      <c r="P310" s="599">
        <f t="shared" si="201"/>
        <v>2442.6</v>
      </c>
      <c r="Q310" s="69"/>
      <c r="R310" s="69"/>
      <c r="S310" s="69"/>
      <c r="T310" s="903"/>
      <c r="U310" s="208" t="s">
        <v>324</v>
      </c>
      <c r="V310" s="69"/>
      <c r="W310" s="69"/>
      <c r="Y310" s="189"/>
      <c r="Z310" s="69"/>
    </row>
    <row r="311" spans="1:26">
      <c r="A311" s="156">
        <f t="shared" si="193"/>
        <v>311</v>
      </c>
      <c r="B311" s="262"/>
      <c r="C311" s="726" t="s">
        <v>825</v>
      </c>
      <c r="D311" s="153"/>
      <c r="E311" s="678">
        <v>2109000</v>
      </c>
      <c r="F311" s="629">
        <v>2000</v>
      </c>
      <c r="G311" s="629">
        <v>200</v>
      </c>
      <c r="H311" s="630">
        <v>80</v>
      </c>
      <c r="I311" s="594">
        <f t="shared" si="203"/>
        <v>949.05000000000007</v>
      </c>
      <c r="J311" s="595">
        <f t="shared" si="204"/>
        <v>87</v>
      </c>
      <c r="K311" s="600">
        <f t="shared" si="205"/>
        <v>608.95000000000005</v>
      </c>
      <c r="L311" s="601">
        <f t="shared" si="197"/>
        <v>1645.0000000000002</v>
      </c>
      <c r="M311" s="691">
        <f t="shared" si="198"/>
        <v>843.6</v>
      </c>
      <c r="N311" s="650">
        <f t="shared" si="199"/>
        <v>0</v>
      </c>
      <c r="O311" s="601">
        <f t="shared" si="200"/>
        <v>843.6</v>
      </c>
      <c r="P311" s="599">
        <f t="shared" si="201"/>
        <v>2488.6000000000004</v>
      </c>
      <c r="Q311" s="69"/>
      <c r="R311" s="69"/>
      <c r="S311" s="69"/>
      <c r="T311" s="903"/>
      <c r="U311" s="208" t="s">
        <v>325</v>
      </c>
      <c r="V311" s="69"/>
      <c r="W311" s="69"/>
      <c r="Y311" s="189"/>
      <c r="Z311" s="69"/>
    </row>
    <row r="312" spans="1:26">
      <c r="A312" s="156">
        <f t="shared" si="193"/>
        <v>312</v>
      </c>
      <c r="B312" s="262"/>
      <c r="C312" s="726" t="s">
        <v>826</v>
      </c>
      <c r="D312" s="153"/>
      <c r="E312" s="678">
        <v>2152750</v>
      </c>
      <c r="F312" s="629">
        <v>2000</v>
      </c>
      <c r="G312" s="629">
        <v>200</v>
      </c>
      <c r="H312" s="630">
        <v>80</v>
      </c>
      <c r="I312" s="594">
        <f t="shared" si="203"/>
        <v>968.75</v>
      </c>
      <c r="J312" s="595">
        <f t="shared" si="204"/>
        <v>88.800000000000011</v>
      </c>
      <c r="K312" s="600">
        <f t="shared" si="205"/>
        <v>621.6</v>
      </c>
      <c r="L312" s="601">
        <f t="shared" si="197"/>
        <v>1679.15</v>
      </c>
      <c r="M312" s="691">
        <f t="shared" si="198"/>
        <v>861.1</v>
      </c>
      <c r="N312" s="650">
        <f t="shared" si="199"/>
        <v>0</v>
      </c>
      <c r="O312" s="601">
        <f t="shared" si="200"/>
        <v>861.1</v>
      </c>
      <c r="P312" s="599">
        <f t="shared" si="201"/>
        <v>2540.25</v>
      </c>
      <c r="Q312" s="69"/>
      <c r="R312" s="69"/>
      <c r="S312" s="69"/>
      <c r="T312" s="903"/>
      <c r="U312" s="208" t="s">
        <v>326</v>
      </c>
      <c r="V312" s="69"/>
      <c r="W312" s="69"/>
      <c r="Y312" s="189"/>
      <c r="Z312" s="69"/>
    </row>
    <row r="313" spans="1:26">
      <c r="A313" s="156">
        <f t="shared" si="193"/>
        <v>313</v>
      </c>
      <c r="B313" s="262"/>
      <c r="C313" s="726" t="s">
        <v>827</v>
      </c>
      <c r="D313" s="153"/>
      <c r="E313" s="678">
        <v>2236000</v>
      </c>
      <c r="F313" s="629">
        <v>2000</v>
      </c>
      <c r="G313" s="629">
        <v>200</v>
      </c>
      <c r="H313" s="630">
        <v>80</v>
      </c>
      <c r="I313" s="594">
        <f t="shared" si="203"/>
        <v>1006.2</v>
      </c>
      <c r="J313" s="595">
        <f t="shared" si="204"/>
        <v>92.25</v>
      </c>
      <c r="K313" s="600">
        <f t="shared" si="205"/>
        <v>645.65000000000009</v>
      </c>
      <c r="L313" s="601">
        <f t="shared" si="197"/>
        <v>1744.1000000000001</v>
      </c>
      <c r="M313" s="691">
        <f t="shared" si="198"/>
        <v>894.40000000000009</v>
      </c>
      <c r="N313" s="650">
        <f t="shared" si="199"/>
        <v>0</v>
      </c>
      <c r="O313" s="601">
        <f t="shared" si="200"/>
        <v>894.40000000000009</v>
      </c>
      <c r="P313" s="599">
        <f t="shared" si="201"/>
        <v>2638.5</v>
      </c>
      <c r="Q313" s="69"/>
      <c r="R313" s="69"/>
      <c r="S313" s="69"/>
      <c r="T313" s="903"/>
      <c r="U313" s="208" t="s">
        <v>327</v>
      </c>
      <c r="V313" s="69"/>
      <c r="W313" s="69"/>
      <c r="Y313" s="189"/>
      <c r="Z313" s="69"/>
    </row>
    <row r="314" spans="1:26">
      <c r="A314" s="156">
        <f t="shared" si="193"/>
        <v>314</v>
      </c>
      <c r="B314" s="262"/>
      <c r="C314" s="726" t="s">
        <v>828</v>
      </c>
      <c r="D314" s="153"/>
      <c r="E314" s="678">
        <v>2319250</v>
      </c>
      <c r="F314" s="629">
        <v>2000</v>
      </c>
      <c r="G314" s="629">
        <v>200</v>
      </c>
      <c r="H314" s="630">
        <v>80</v>
      </c>
      <c r="I314" s="594">
        <f t="shared" si="203"/>
        <v>1043.6500000000001</v>
      </c>
      <c r="J314" s="595">
        <f t="shared" si="204"/>
        <v>95.65</v>
      </c>
      <c r="K314" s="600">
        <f t="shared" si="205"/>
        <v>669.7</v>
      </c>
      <c r="L314" s="601">
        <f t="shared" si="197"/>
        <v>1809.0000000000002</v>
      </c>
      <c r="M314" s="691">
        <f t="shared" si="198"/>
        <v>927.7</v>
      </c>
      <c r="N314" s="650">
        <f t="shared" si="199"/>
        <v>0</v>
      </c>
      <c r="O314" s="601">
        <f t="shared" si="200"/>
        <v>927.7</v>
      </c>
      <c r="P314" s="599">
        <f t="shared" si="201"/>
        <v>2736.7000000000003</v>
      </c>
      <c r="Q314" s="69"/>
      <c r="R314" s="69"/>
      <c r="S314" s="69"/>
      <c r="T314" s="903"/>
      <c r="U314" s="208" t="s">
        <v>328</v>
      </c>
      <c r="V314" s="69"/>
      <c r="W314" s="69"/>
      <c r="Y314" s="189"/>
      <c r="Z314" s="69"/>
    </row>
    <row r="315" spans="1:26">
      <c r="A315" s="156">
        <f t="shared" si="193"/>
        <v>315</v>
      </c>
      <c r="B315" s="262"/>
      <c r="C315" s="726" t="s">
        <v>829</v>
      </c>
      <c r="D315" s="153"/>
      <c r="E315" s="678">
        <v>2402500</v>
      </c>
      <c r="F315" s="629">
        <v>2000</v>
      </c>
      <c r="G315" s="629">
        <v>200</v>
      </c>
      <c r="H315" s="630">
        <v>80</v>
      </c>
      <c r="I315" s="594">
        <f t="shared" si="203"/>
        <v>1081.1500000000001</v>
      </c>
      <c r="J315" s="595">
        <f t="shared" si="204"/>
        <v>99.100000000000009</v>
      </c>
      <c r="K315" s="600">
        <f t="shared" si="205"/>
        <v>693.7</v>
      </c>
      <c r="L315" s="601">
        <f t="shared" si="197"/>
        <v>1873.95</v>
      </c>
      <c r="M315" s="691">
        <f t="shared" si="198"/>
        <v>961</v>
      </c>
      <c r="N315" s="650">
        <f t="shared" si="199"/>
        <v>0</v>
      </c>
      <c r="O315" s="601">
        <f t="shared" si="200"/>
        <v>961</v>
      </c>
      <c r="P315" s="599">
        <f t="shared" si="201"/>
        <v>2834.95</v>
      </c>
      <c r="Q315" s="69"/>
      <c r="R315" s="69"/>
      <c r="S315" s="69"/>
      <c r="T315" s="903"/>
      <c r="U315" s="208" t="s">
        <v>329</v>
      </c>
      <c r="V315" s="69"/>
      <c r="W315" s="69"/>
      <c r="Y315" s="189"/>
      <c r="Z315" s="69"/>
    </row>
    <row r="316" spans="1:26">
      <c r="A316" s="156">
        <f t="shared" si="193"/>
        <v>316</v>
      </c>
      <c r="B316" s="262"/>
      <c r="C316" s="726" t="s">
        <v>830</v>
      </c>
      <c r="D316" s="153"/>
      <c r="E316" s="678">
        <v>2485750</v>
      </c>
      <c r="F316" s="629">
        <v>2000</v>
      </c>
      <c r="G316" s="629">
        <v>200</v>
      </c>
      <c r="H316" s="630">
        <v>80</v>
      </c>
      <c r="I316" s="594">
        <f t="shared" si="203"/>
        <v>1118.6000000000001</v>
      </c>
      <c r="J316" s="595">
        <f t="shared" si="204"/>
        <v>102.55000000000001</v>
      </c>
      <c r="K316" s="600">
        <f t="shared" si="205"/>
        <v>717.75</v>
      </c>
      <c r="L316" s="601">
        <f t="shared" si="197"/>
        <v>1938.9</v>
      </c>
      <c r="M316" s="691">
        <f t="shared" si="198"/>
        <v>994.30000000000007</v>
      </c>
      <c r="N316" s="650">
        <f t="shared" si="199"/>
        <v>0</v>
      </c>
      <c r="O316" s="601">
        <f t="shared" si="200"/>
        <v>994.30000000000007</v>
      </c>
      <c r="P316" s="599">
        <f t="shared" si="201"/>
        <v>2933.2000000000003</v>
      </c>
      <c r="Q316" s="69"/>
      <c r="R316" s="69"/>
      <c r="S316" s="69"/>
      <c r="T316" s="903"/>
      <c r="U316" s="208" t="s">
        <v>330</v>
      </c>
      <c r="V316" s="69"/>
      <c r="W316" s="69"/>
      <c r="Y316" s="189"/>
      <c r="Z316" s="69"/>
    </row>
    <row r="317" spans="1:26">
      <c r="A317" s="156">
        <f t="shared" si="193"/>
        <v>317</v>
      </c>
      <c r="B317" s="262"/>
      <c r="C317" s="726" t="s">
        <v>831</v>
      </c>
      <c r="D317" s="153"/>
      <c r="E317" s="678">
        <v>2701250</v>
      </c>
      <c r="F317" s="629">
        <v>2000</v>
      </c>
      <c r="G317" s="629">
        <v>200</v>
      </c>
      <c r="H317" s="630">
        <v>80</v>
      </c>
      <c r="I317" s="594">
        <f t="shared" si="203"/>
        <v>1215.55</v>
      </c>
      <c r="J317" s="595">
        <f t="shared" si="204"/>
        <v>111.45</v>
      </c>
      <c r="K317" s="600">
        <f t="shared" si="205"/>
        <v>780</v>
      </c>
      <c r="L317" s="601">
        <f t="shared" si="197"/>
        <v>2107</v>
      </c>
      <c r="M317" s="691">
        <f t="shared" si="198"/>
        <v>1080.5</v>
      </c>
      <c r="N317" s="650">
        <f t="shared" si="199"/>
        <v>0</v>
      </c>
      <c r="O317" s="601">
        <f t="shared" si="200"/>
        <v>1080.5</v>
      </c>
      <c r="P317" s="599">
        <f t="shared" si="201"/>
        <v>3187.5</v>
      </c>
      <c r="Q317" s="69"/>
      <c r="R317" s="69"/>
      <c r="S317" s="69"/>
      <c r="T317" s="903"/>
      <c r="U317" s="208" t="s">
        <v>331</v>
      </c>
      <c r="V317" s="69"/>
      <c r="W317" s="69"/>
      <c r="Y317" s="189"/>
      <c r="Z317" s="69"/>
    </row>
    <row r="318" spans="1:26">
      <c r="A318" s="156">
        <f t="shared" si="193"/>
        <v>318</v>
      </c>
      <c r="B318" s="262"/>
      <c r="C318" s="726" t="s">
        <v>832</v>
      </c>
      <c r="D318" s="153"/>
      <c r="E318" s="678">
        <v>2751500</v>
      </c>
      <c r="F318" s="629">
        <v>2000</v>
      </c>
      <c r="G318" s="629">
        <v>200</v>
      </c>
      <c r="H318" s="630">
        <v>80</v>
      </c>
      <c r="I318" s="594">
        <f t="shared" si="203"/>
        <v>1238.1500000000001</v>
      </c>
      <c r="J318" s="595">
        <f t="shared" si="204"/>
        <v>113.5</v>
      </c>
      <c r="K318" s="600">
        <f t="shared" si="205"/>
        <v>794.5</v>
      </c>
      <c r="L318" s="601">
        <f t="shared" si="197"/>
        <v>2146.15</v>
      </c>
      <c r="M318" s="691">
        <f t="shared" si="198"/>
        <v>1100.6000000000001</v>
      </c>
      <c r="N318" s="650">
        <f t="shared" si="199"/>
        <v>0</v>
      </c>
      <c r="O318" s="601">
        <f t="shared" si="200"/>
        <v>1100.6000000000001</v>
      </c>
      <c r="P318" s="599">
        <f t="shared" si="201"/>
        <v>3246.75</v>
      </c>
      <c r="Q318" s="69"/>
      <c r="R318" s="69"/>
      <c r="S318" s="69"/>
      <c r="T318" s="903"/>
      <c r="U318" s="208" t="s">
        <v>332</v>
      </c>
      <c r="V318" s="69"/>
      <c r="W318" s="69"/>
      <c r="Y318" s="189"/>
      <c r="Z318" s="69"/>
    </row>
    <row r="319" spans="1:26">
      <c r="A319" s="156">
        <f t="shared" si="193"/>
        <v>319</v>
      </c>
      <c r="B319" s="262"/>
      <c r="C319" s="726" t="s">
        <v>833</v>
      </c>
      <c r="D319" s="153"/>
      <c r="E319" s="678">
        <v>2801500</v>
      </c>
      <c r="F319" s="629">
        <v>2000</v>
      </c>
      <c r="G319" s="629">
        <v>200</v>
      </c>
      <c r="H319" s="630">
        <v>80</v>
      </c>
      <c r="I319" s="594">
        <f t="shared" si="203"/>
        <v>1260.6500000000001</v>
      </c>
      <c r="J319" s="595">
        <f t="shared" si="204"/>
        <v>115.55000000000001</v>
      </c>
      <c r="K319" s="600">
        <f t="shared" si="205"/>
        <v>808.95</v>
      </c>
      <c r="L319" s="601">
        <f t="shared" si="197"/>
        <v>2185.15</v>
      </c>
      <c r="M319" s="691">
        <f t="shared" si="198"/>
        <v>1120.6000000000001</v>
      </c>
      <c r="N319" s="650">
        <f t="shared" si="199"/>
        <v>0</v>
      </c>
      <c r="O319" s="601">
        <f t="shared" si="200"/>
        <v>1120.6000000000001</v>
      </c>
      <c r="P319" s="599">
        <f t="shared" si="201"/>
        <v>3305.75</v>
      </c>
      <c r="Q319" s="69"/>
      <c r="R319" s="69"/>
      <c r="S319" s="69"/>
      <c r="T319" s="903"/>
      <c r="U319" s="208" t="s">
        <v>333</v>
      </c>
      <c r="V319" s="69"/>
      <c r="W319" s="69"/>
      <c r="Y319" s="189"/>
      <c r="Z319" s="69"/>
    </row>
    <row r="320" spans="1:26">
      <c r="A320" s="156" t="str">
        <f t="shared" si="193"/>
        <v/>
      </c>
      <c r="C320" s="823"/>
      <c r="D320" s="170"/>
      <c r="E320" s="563"/>
      <c r="F320" s="692"/>
      <c r="G320" s="692"/>
      <c r="H320" s="692"/>
      <c r="I320" s="605"/>
      <c r="J320" s="606"/>
      <c r="K320" s="605"/>
      <c r="L320" s="607"/>
      <c r="M320" s="608"/>
      <c r="N320" s="608"/>
      <c r="O320" s="607"/>
      <c r="P320" s="609"/>
      <c r="U320" s="207"/>
      <c r="Y320" s="189"/>
    </row>
    <row r="321" spans="1:26">
      <c r="A321" s="156" t="str">
        <f t="shared" ref="A321:A370" si="206">IF(ISNUMBER(E321),ROW(),"")</f>
        <v/>
      </c>
      <c r="B321" s="261"/>
      <c r="C321" s="725"/>
      <c r="D321" s="153"/>
      <c r="E321" s="557"/>
      <c r="F321" s="585"/>
      <c r="G321" s="585"/>
      <c r="H321" s="585"/>
      <c r="I321" s="585"/>
      <c r="J321" s="585"/>
      <c r="K321" s="585"/>
      <c r="L321" s="585"/>
      <c r="M321" s="175"/>
      <c r="N321" s="175"/>
      <c r="O321" s="175"/>
      <c r="P321" s="585"/>
      <c r="U321" s="201"/>
      <c r="Y321" s="189"/>
    </row>
    <row r="322" spans="1:26" s="187" customFormat="1" ht="13.5" thickBot="1">
      <c r="A322" s="310" t="str">
        <f t="shared" si="206"/>
        <v/>
      </c>
      <c r="B322" s="266">
        <f>MAX($B$8:B321)+0.01</f>
        <v>9.0299999999999994</v>
      </c>
      <c r="C322" s="834" t="s">
        <v>1235</v>
      </c>
      <c r="D322" s="95"/>
      <c r="E322" s="714"/>
      <c r="F322" s="693"/>
      <c r="G322" s="693"/>
      <c r="H322" s="695"/>
      <c r="I322" s="695"/>
      <c r="J322" s="695"/>
      <c r="K322" s="695"/>
      <c r="L322" s="695"/>
      <c r="M322" s="695"/>
      <c r="N322" s="695"/>
      <c r="O322" s="695"/>
      <c r="P322" s="697" t="s">
        <v>310</v>
      </c>
      <c r="Q322" s="152"/>
      <c r="R322" s="152"/>
      <c r="S322" s="152"/>
      <c r="T322" s="901"/>
      <c r="U322" s="204"/>
      <c r="V322" s="152"/>
      <c r="W322" s="152"/>
      <c r="X322" s="78"/>
      <c r="Y322" s="772"/>
      <c r="Z322" s="80"/>
    </row>
    <row r="323" spans="1:26" s="187" customFormat="1">
      <c r="A323" s="310" t="str">
        <f t="shared" si="206"/>
        <v/>
      </c>
      <c r="B323" s="264"/>
      <c r="C323" s="820"/>
      <c r="D323" s="153"/>
      <c r="E323" s="710"/>
      <c r="F323" s="690"/>
      <c r="G323" s="690"/>
      <c r="H323" s="175"/>
      <c r="I323" s="175"/>
      <c r="J323" s="175"/>
      <c r="K323" s="175"/>
      <c r="L323" s="175"/>
      <c r="M323" s="175"/>
      <c r="N323" s="175"/>
      <c r="O323" s="175"/>
      <c r="P323" s="704"/>
      <c r="T323" s="903"/>
      <c r="U323" s="205"/>
      <c r="V323" s="152"/>
      <c r="W323" s="152"/>
      <c r="X323" s="78"/>
      <c r="Y323" s="772"/>
      <c r="Z323" s="80"/>
    </row>
    <row r="324" spans="1:26" s="187" customFormat="1">
      <c r="A324" s="310">
        <f t="shared" si="206"/>
        <v>324</v>
      </c>
      <c r="B324" s="264"/>
      <c r="C324" s="726" t="s">
        <v>1319</v>
      </c>
      <c r="D324" s="153"/>
      <c r="E324" s="678">
        <v>520000</v>
      </c>
      <c r="F324" s="648">
        <v>2000</v>
      </c>
      <c r="G324" s="648">
        <v>200</v>
      </c>
      <c r="H324" s="649">
        <v>80</v>
      </c>
      <c r="I324" s="594">
        <f t="shared" ref="I324:I329" si="207">MROUND(E324*(1-$E$677/100)/F324,0.05)</f>
        <v>234</v>
      </c>
      <c r="J324" s="595">
        <f t="shared" ref="J324:J329" si="208">MROUND($E324*(1+$E$677/100)/2*$E$682/100/$G324,0.05)</f>
        <v>21.450000000000003</v>
      </c>
      <c r="K324" s="600">
        <f t="shared" ref="K324:K329" si="209">MROUND($E324*(1+$E$677/100)/2*$E$678/100/$G324,0.05)</f>
        <v>150.15</v>
      </c>
      <c r="L324" s="601">
        <f t="shared" ref="L324:L329" si="210">SUM(I324:K324)</f>
        <v>405.6</v>
      </c>
      <c r="M324" s="691">
        <f t="shared" ref="M324:M329" si="211">MROUND($E324*$H324/100/$F324,0.05)</f>
        <v>208</v>
      </c>
      <c r="N324" s="650">
        <f t="shared" ref="N324:N329" si="212">MROUND(Y324*Z324,0.05)</f>
        <v>0</v>
      </c>
      <c r="O324" s="601">
        <f t="shared" ref="O324:O329" si="213">SUM(M324:N324)</f>
        <v>208</v>
      </c>
      <c r="P324" s="599">
        <f t="shared" ref="P324:P329" si="214">O324+L324</f>
        <v>613.6</v>
      </c>
      <c r="T324" s="903"/>
      <c r="U324" s="208">
        <v>60</v>
      </c>
      <c r="V324" s="152"/>
      <c r="W324" s="152"/>
      <c r="X324" s="78"/>
      <c r="Y324" s="772"/>
      <c r="Z324" s="80"/>
    </row>
    <row r="325" spans="1:26" s="187" customFormat="1">
      <c r="A325" s="310">
        <f t="shared" si="206"/>
        <v>325</v>
      </c>
      <c r="B325" s="264"/>
      <c r="C325" s="726" t="s">
        <v>1320</v>
      </c>
      <c r="D325" s="153"/>
      <c r="E325" s="678">
        <v>548500</v>
      </c>
      <c r="F325" s="648">
        <v>2000</v>
      </c>
      <c r="G325" s="648">
        <v>200</v>
      </c>
      <c r="H325" s="649">
        <v>80</v>
      </c>
      <c r="I325" s="594">
        <f t="shared" si="207"/>
        <v>246.8</v>
      </c>
      <c r="J325" s="595">
        <f t="shared" si="208"/>
        <v>22.650000000000002</v>
      </c>
      <c r="K325" s="600">
        <f t="shared" si="209"/>
        <v>158.4</v>
      </c>
      <c r="L325" s="601">
        <f t="shared" si="210"/>
        <v>427.85</v>
      </c>
      <c r="M325" s="691">
        <f t="shared" si="211"/>
        <v>219.4</v>
      </c>
      <c r="N325" s="650">
        <f t="shared" si="212"/>
        <v>0</v>
      </c>
      <c r="O325" s="601">
        <f t="shared" si="213"/>
        <v>219.4</v>
      </c>
      <c r="P325" s="599">
        <f t="shared" si="214"/>
        <v>647.25</v>
      </c>
      <c r="T325" s="903"/>
      <c r="U325" s="208">
        <v>75</v>
      </c>
      <c r="V325" s="152"/>
      <c r="W325" s="152"/>
      <c r="X325" s="78"/>
      <c r="Y325" s="772"/>
      <c r="Z325" s="80"/>
    </row>
    <row r="326" spans="1:26" s="187" customFormat="1">
      <c r="A326" s="310">
        <f t="shared" si="206"/>
        <v>326</v>
      </c>
      <c r="B326" s="264"/>
      <c r="C326" s="726" t="s">
        <v>1321</v>
      </c>
      <c r="D326" s="153"/>
      <c r="E326" s="678">
        <v>582250</v>
      </c>
      <c r="F326" s="648">
        <v>2000</v>
      </c>
      <c r="G326" s="648">
        <v>200</v>
      </c>
      <c r="H326" s="649">
        <v>80</v>
      </c>
      <c r="I326" s="594">
        <f t="shared" si="207"/>
        <v>262</v>
      </c>
      <c r="J326" s="595">
        <f t="shared" si="208"/>
        <v>24</v>
      </c>
      <c r="K326" s="600">
        <f t="shared" si="209"/>
        <v>168.10000000000002</v>
      </c>
      <c r="L326" s="601">
        <f t="shared" si="210"/>
        <v>454.1</v>
      </c>
      <c r="M326" s="691">
        <f t="shared" si="211"/>
        <v>232.9</v>
      </c>
      <c r="N326" s="650">
        <f t="shared" si="212"/>
        <v>0</v>
      </c>
      <c r="O326" s="601">
        <f t="shared" si="213"/>
        <v>232.9</v>
      </c>
      <c r="P326" s="599">
        <f t="shared" si="214"/>
        <v>687</v>
      </c>
      <c r="T326" s="903"/>
      <c r="U326" s="208">
        <v>90</v>
      </c>
      <c r="V326" s="152"/>
      <c r="W326" s="152"/>
      <c r="X326" s="78"/>
      <c r="Y326" s="772"/>
      <c r="Z326" s="80"/>
    </row>
    <row r="327" spans="1:26" s="187" customFormat="1">
      <c r="A327" s="310">
        <f t="shared" si="206"/>
        <v>327</v>
      </c>
      <c r="B327" s="264"/>
      <c r="C327" s="726" t="s">
        <v>1322</v>
      </c>
      <c r="D327" s="153"/>
      <c r="E327" s="678">
        <v>618500</v>
      </c>
      <c r="F327" s="648">
        <v>2000</v>
      </c>
      <c r="G327" s="648">
        <v>200</v>
      </c>
      <c r="H327" s="649">
        <v>80</v>
      </c>
      <c r="I327" s="594">
        <f t="shared" si="207"/>
        <v>278.3</v>
      </c>
      <c r="J327" s="595">
        <f t="shared" si="208"/>
        <v>25.5</v>
      </c>
      <c r="K327" s="600">
        <f t="shared" si="209"/>
        <v>178.60000000000002</v>
      </c>
      <c r="L327" s="601">
        <f t="shared" si="210"/>
        <v>482.40000000000003</v>
      </c>
      <c r="M327" s="691">
        <f t="shared" si="211"/>
        <v>247.4</v>
      </c>
      <c r="N327" s="650">
        <f t="shared" si="212"/>
        <v>0</v>
      </c>
      <c r="O327" s="601">
        <f t="shared" si="213"/>
        <v>247.4</v>
      </c>
      <c r="P327" s="599">
        <f t="shared" si="214"/>
        <v>729.80000000000007</v>
      </c>
      <c r="T327" s="903"/>
      <c r="U327" s="208">
        <v>105</v>
      </c>
      <c r="V327" s="152"/>
      <c r="W327" s="152"/>
      <c r="X327" s="78"/>
      <c r="Y327" s="772"/>
      <c r="Z327" s="80"/>
    </row>
    <row r="328" spans="1:26" s="187" customFormat="1">
      <c r="A328" s="310">
        <f t="shared" si="206"/>
        <v>328</v>
      </c>
      <c r="B328" s="264"/>
      <c r="C328" s="726" t="s">
        <v>1323</v>
      </c>
      <c r="D328" s="153"/>
      <c r="E328" s="678">
        <v>844500</v>
      </c>
      <c r="F328" s="648">
        <v>2000</v>
      </c>
      <c r="G328" s="648">
        <v>200</v>
      </c>
      <c r="H328" s="649">
        <v>80</v>
      </c>
      <c r="I328" s="594">
        <f t="shared" si="207"/>
        <v>380</v>
      </c>
      <c r="J328" s="595">
        <f t="shared" si="208"/>
        <v>34.85</v>
      </c>
      <c r="K328" s="600">
        <f t="shared" si="209"/>
        <v>243.85000000000002</v>
      </c>
      <c r="L328" s="601">
        <f t="shared" si="210"/>
        <v>658.7</v>
      </c>
      <c r="M328" s="691">
        <f t="shared" si="211"/>
        <v>337.8</v>
      </c>
      <c r="N328" s="650">
        <f t="shared" si="212"/>
        <v>0</v>
      </c>
      <c r="O328" s="601">
        <f t="shared" si="213"/>
        <v>337.8</v>
      </c>
      <c r="P328" s="599">
        <f t="shared" si="214"/>
        <v>996.5</v>
      </c>
      <c r="T328" s="903"/>
      <c r="U328" s="208">
        <v>120</v>
      </c>
      <c r="V328" s="152"/>
      <c r="W328" s="152"/>
      <c r="X328" s="78"/>
      <c r="Y328" s="772"/>
      <c r="Z328" s="80"/>
    </row>
    <row r="329" spans="1:26" s="187" customFormat="1">
      <c r="A329" s="310">
        <f t="shared" si="206"/>
        <v>329</v>
      </c>
      <c r="B329" s="264"/>
      <c r="C329" s="726" t="s">
        <v>1324</v>
      </c>
      <c r="D329" s="153"/>
      <c r="E329" s="678">
        <v>940000</v>
      </c>
      <c r="F329" s="648">
        <v>2000</v>
      </c>
      <c r="G329" s="648">
        <v>200</v>
      </c>
      <c r="H329" s="649">
        <v>80</v>
      </c>
      <c r="I329" s="594">
        <f t="shared" si="207"/>
        <v>423</v>
      </c>
      <c r="J329" s="595">
        <f t="shared" si="208"/>
        <v>38.800000000000004</v>
      </c>
      <c r="K329" s="600">
        <f t="shared" si="209"/>
        <v>271.45</v>
      </c>
      <c r="L329" s="601">
        <f t="shared" si="210"/>
        <v>733.25</v>
      </c>
      <c r="M329" s="691">
        <f t="shared" si="211"/>
        <v>376</v>
      </c>
      <c r="N329" s="650">
        <f t="shared" si="212"/>
        <v>0</v>
      </c>
      <c r="O329" s="601">
        <f t="shared" si="213"/>
        <v>376</v>
      </c>
      <c r="P329" s="599">
        <f t="shared" si="214"/>
        <v>1109.25</v>
      </c>
      <c r="T329" s="903"/>
      <c r="U329" s="208">
        <v>135</v>
      </c>
      <c r="V329" s="152"/>
      <c r="W329" s="152"/>
      <c r="X329" s="78"/>
      <c r="Y329" s="772"/>
      <c r="Z329" s="80"/>
    </row>
    <row r="330" spans="1:26" s="187" customFormat="1">
      <c r="A330" s="310" t="str">
        <f t="shared" si="206"/>
        <v/>
      </c>
      <c r="B330" s="265"/>
      <c r="C330" s="823"/>
      <c r="D330" s="170"/>
      <c r="E330" s="717"/>
      <c r="F330" s="705"/>
      <c r="G330" s="705"/>
      <c r="H330" s="705"/>
      <c r="I330" s="608"/>
      <c r="J330" s="706"/>
      <c r="K330" s="608"/>
      <c r="L330" s="607"/>
      <c r="M330" s="608"/>
      <c r="N330" s="608"/>
      <c r="O330" s="607"/>
      <c r="P330" s="609"/>
      <c r="Q330" s="152"/>
      <c r="R330" s="152"/>
      <c r="S330" s="152"/>
      <c r="T330" s="901"/>
      <c r="U330" s="207"/>
      <c r="V330" s="152"/>
      <c r="W330" s="152"/>
      <c r="X330" s="78"/>
      <c r="Y330" s="772"/>
      <c r="Z330" s="80"/>
    </row>
    <row r="331" spans="1:26" s="187" customFormat="1">
      <c r="A331" s="310" t="str">
        <f t="shared" si="206"/>
        <v/>
      </c>
      <c r="B331" s="264"/>
      <c r="C331" s="725"/>
      <c r="D331" s="153"/>
      <c r="E331" s="718"/>
      <c r="F331" s="175"/>
      <c r="G331" s="175"/>
      <c r="H331" s="175"/>
      <c r="I331" s="175"/>
      <c r="J331" s="175"/>
      <c r="K331" s="175"/>
      <c r="L331" s="175"/>
      <c r="M331" s="175"/>
      <c r="N331" s="175"/>
      <c r="O331" s="175"/>
      <c r="P331" s="175"/>
      <c r="Q331" s="152"/>
      <c r="R331" s="152"/>
      <c r="S331" s="152"/>
      <c r="T331" s="901"/>
      <c r="U331" s="201"/>
      <c r="V331" s="152"/>
      <c r="W331" s="152"/>
      <c r="X331" s="78"/>
      <c r="Y331" s="772"/>
      <c r="Z331" s="80"/>
    </row>
    <row r="332" spans="1:26" s="187" customFormat="1" ht="13.5" thickBot="1">
      <c r="A332" s="310" t="str">
        <f t="shared" ref="A332:A339" si="215">IF(ISNUMBER(E332),ROW(),"")</f>
        <v/>
      </c>
      <c r="B332" s="266">
        <f>MAX($B$8:B331)+0.01</f>
        <v>9.0399999999999991</v>
      </c>
      <c r="C332" s="834" t="s">
        <v>1318</v>
      </c>
      <c r="D332" s="95"/>
      <c r="E332" s="714"/>
      <c r="F332" s="693"/>
      <c r="G332" s="693"/>
      <c r="H332" s="695"/>
      <c r="I332" s="695"/>
      <c r="J332" s="695"/>
      <c r="K332" s="695"/>
      <c r="L332" s="695"/>
      <c r="M332" s="695"/>
      <c r="N332" s="695"/>
      <c r="O332" s="695"/>
      <c r="P332" s="697"/>
      <c r="Q332" s="152"/>
      <c r="R332" s="152"/>
      <c r="S332" s="152"/>
      <c r="T332" s="901"/>
      <c r="U332" s="204"/>
      <c r="V332" s="152"/>
      <c r="W332" s="152"/>
      <c r="X332" s="78"/>
      <c r="Y332" s="772"/>
      <c r="Z332" s="80"/>
    </row>
    <row r="333" spans="1:26" s="187" customFormat="1">
      <c r="A333" s="310" t="str">
        <f t="shared" si="215"/>
        <v/>
      </c>
      <c r="B333" s="264"/>
      <c r="C333" s="820"/>
      <c r="D333" s="153"/>
      <c r="E333" s="710"/>
      <c r="F333" s="690"/>
      <c r="G333" s="690"/>
      <c r="H333" s="175"/>
      <c r="I333" s="175"/>
      <c r="J333" s="175"/>
      <c r="K333" s="175"/>
      <c r="L333" s="175"/>
      <c r="M333" s="175"/>
      <c r="N333" s="175"/>
      <c r="O333" s="175"/>
      <c r="P333" s="704"/>
      <c r="T333" s="903"/>
      <c r="U333" s="205"/>
      <c r="V333" s="152"/>
      <c r="W333" s="152"/>
      <c r="X333" s="78"/>
      <c r="Y333" s="772"/>
      <c r="Z333" s="80"/>
    </row>
    <row r="334" spans="1:26" s="187" customFormat="1">
      <c r="A334" s="310"/>
      <c r="B334" s="264"/>
      <c r="C334" s="726" t="s">
        <v>1328</v>
      </c>
      <c r="D334" s="153"/>
      <c r="E334" s="710"/>
      <c r="F334" s="690"/>
      <c r="G334" s="690"/>
      <c r="H334" s="175"/>
      <c r="I334" s="175"/>
      <c r="J334" s="175"/>
      <c r="K334" s="175"/>
      <c r="L334" s="175"/>
      <c r="M334" s="175"/>
      <c r="N334" s="175"/>
      <c r="O334" s="175"/>
      <c r="P334" s="704"/>
      <c r="T334" s="903"/>
      <c r="U334" s="205"/>
      <c r="V334" s="152"/>
      <c r="W334" s="152"/>
      <c r="X334" s="78"/>
      <c r="Y334" s="772"/>
      <c r="Z334" s="80"/>
    </row>
    <row r="335" spans="1:26" s="187" customFormat="1">
      <c r="A335" s="310">
        <f t="shared" si="215"/>
        <v>335</v>
      </c>
      <c r="B335" s="264"/>
      <c r="C335" s="726" t="s">
        <v>1325</v>
      </c>
      <c r="D335" s="153"/>
      <c r="E335" s="678">
        <v>1100000</v>
      </c>
      <c r="F335" s="648">
        <v>2000</v>
      </c>
      <c r="G335" s="648">
        <v>200</v>
      </c>
      <c r="H335" s="649">
        <v>80</v>
      </c>
      <c r="I335" s="594">
        <f>MROUND(E335*(1-$E$677/100)/F335,0.05)</f>
        <v>495</v>
      </c>
      <c r="J335" s="595">
        <f>MROUND($E335*(1+$E$677/100)/2*$E$682/100/$G335,0.05)</f>
        <v>45.400000000000006</v>
      </c>
      <c r="K335" s="600">
        <f>MROUND($E335*(1+$E$677/100)/2*$E$678/100/$G335,0.05)</f>
        <v>317.65000000000003</v>
      </c>
      <c r="L335" s="601">
        <f t="shared" ref="L335:L337" si="216">SUM(I335:K335)</f>
        <v>858.05</v>
      </c>
      <c r="M335" s="691">
        <f>MROUND($E335*$H335/100/$F335,0.05)</f>
        <v>440</v>
      </c>
      <c r="N335" s="650">
        <f t="shared" ref="N335:N337" si="217">MROUND(Y335*Z335,0.05)</f>
        <v>0</v>
      </c>
      <c r="O335" s="601">
        <f t="shared" ref="O335:O337" si="218">SUM(M335:N335)</f>
        <v>440</v>
      </c>
      <c r="P335" s="599">
        <f t="shared" ref="P335:P337" si="219">O335+L335</f>
        <v>1298.05</v>
      </c>
      <c r="T335" s="903"/>
      <c r="U335" s="208">
        <v>60</v>
      </c>
      <c r="V335" s="152"/>
      <c r="W335" s="152"/>
      <c r="X335" s="78"/>
      <c r="Y335" s="772"/>
      <c r="Z335" s="80"/>
    </row>
    <row r="336" spans="1:26" s="187" customFormat="1">
      <c r="A336" s="310">
        <f t="shared" si="215"/>
        <v>336</v>
      </c>
      <c r="B336" s="264"/>
      <c r="C336" s="726" t="s">
        <v>1326</v>
      </c>
      <c r="D336" s="153"/>
      <c r="E336" s="678">
        <v>1720000</v>
      </c>
      <c r="F336" s="648">
        <v>2000</v>
      </c>
      <c r="G336" s="648">
        <v>200</v>
      </c>
      <c r="H336" s="649">
        <v>80</v>
      </c>
      <c r="I336" s="594">
        <f>MROUND(E336*(1-$E$677/100)/F336,0.05)</f>
        <v>774</v>
      </c>
      <c r="J336" s="595">
        <f>MROUND($E336*(1+$E$677/100)/2*$E$682/100/$G336,0.05)</f>
        <v>70.95</v>
      </c>
      <c r="K336" s="600">
        <f>MROUND($E336*(1+$E$677/100)/2*$E$678/100/$G336,0.05)</f>
        <v>496.65000000000003</v>
      </c>
      <c r="L336" s="601">
        <f t="shared" si="216"/>
        <v>1341.6000000000001</v>
      </c>
      <c r="M336" s="691">
        <f>MROUND($E336*$H336/100/$F336,0.05)</f>
        <v>688</v>
      </c>
      <c r="N336" s="650">
        <f t="shared" si="217"/>
        <v>0</v>
      </c>
      <c r="O336" s="601">
        <f t="shared" si="218"/>
        <v>688</v>
      </c>
      <c r="P336" s="599">
        <f t="shared" si="219"/>
        <v>2029.6000000000001</v>
      </c>
      <c r="T336" s="903"/>
      <c r="U336" s="208">
        <v>75</v>
      </c>
      <c r="V336" s="152"/>
      <c r="W336" s="152"/>
      <c r="X336" s="78"/>
      <c r="Y336" s="772"/>
      <c r="Z336" s="80"/>
    </row>
    <row r="337" spans="1:26" s="187" customFormat="1">
      <c r="A337" s="310">
        <f t="shared" si="215"/>
        <v>337</v>
      </c>
      <c r="B337" s="264"/>
      <c r="C337" s="726" t="s">
        <v>1327</v>
      </c>
      <c r="D337" s="153"/>
      <c r="E337" s="678">
        <v>2400000</v>
      </c>
      <c r="F337" s="648">
        <v>2000</v>
      </c>
      <c r="G337" s="648">
        <v>200</v>
      </c>
      <c r="H337" s="649">
        <v>80</v>
      </c>
      <c r="I337" s="594">
        <f>MROUND(E337*(1-$E$677/100)/F337,0.05)</f>
        <v>1080</v>
      </c>
      <c r="J337" s="595">
        <f>MROUND($E337*(1+$E$677/100)/2*$E$682/100/$G337,0.05)</f>
        <v>99</v>
      </c>
      <c r="K337" s="600">
        <f>MROUND($E337*(1+$E$677/100)/2*$E$678/100/$G337,0.05)</f>
        <v>693</v>
      </c>
      <c r="L337" s="601">
        <f t="shared" si="216"/>
        <v>1872</v>
      </c>
      <c r="M337" s="691">
        <f>MROUND($E337*$H337/100/$F337,0.05)</f>
        <v>960</v>
      </c>
      <c r="N337" s="650">
        <f t="shared" si="217"/>
        <v>0</v>
      </c>
      <c r="O337" s="601">
        <f t="shared" si="218"/>
        <v>960</v>
      </c>
      <c r="P337" s="599">
        <f t="shared" si="219"/>
        <v>2832</v>
      </c>
      <c r="T337" s="903"/>
      <c r="U337" s="208">
        <v>90</v>
      </c>
      <c r="V337" s="152"/>
      <c r="W337" s="152"/>
      <c r="X337" s="78"/>
      <c r="Y337" s="772"/>
      <c r="Z337" s="80"/>
    </row>
    <row r="338" spans="1:26" s="187" customFormat="1">
      <c r="A338" s="310" t="str">
        <f t="shared" si="215"/>
        <v/>
      </c>
      <c r="B338" s="265"/>
      <c r="C338" s="823"/>
      <c r="D338" s="170"/>
      <c r="E338" s="717"/>
      <c r="F338" s="705"/>
      <c r="G338" s="705"/>
      <c r="H338" s="705"/>
      <c r="I338" s="608"/>
      <c r="J338" s="706"/>
      <c r="K338" s="608"/>
      <c r="L338" s="607"/>
      <c r="M338" s="608"/>
      <c r="N338" s="608"/>
      <c r="O338" s="607"/>
      <c r="P338" s="609"/>
      <c r="Q338" s="152"/>
      <c r="R338" s="152"/>
      <c r="S338" s="152"/>
      <c r="T338" s="901"/>
      <c r="U338" s="207"/>
      <c r="V338" s="152"/>
      <c r="W338" s="152"/>
      <c r="X338" s="78"/>
      <c r="Y338" s="772"/>
      <c r="Z338" s="80"/>
    </row>
    <row r="339" spans="1:26" s="187" customFormat="1">
      <c r="A339" s="310" t="str">
        <f t="shared" si="215"/>
        <v/>
      </c>
      <c r="B339" s="264"/>
      <c r="C339" s="725"/>
      <c r="D339" s="153"/>
      <c r="E339" s="718"/>
      <c r="F339" s="175"/>
      <c r="G339" s="175"/>
      <c r="H339" s="175"/>
      <c r="I339" s="175"/>
      <c r="J339" s="175"/>
      <c r="K339" s="175"/>
      <c r="L339" s="175"/>
      <c r="M339" s="175"/>
      <c r="N339" s="175"/>
      <c r="O339" s="175"/>
      <c r="P339" s="175"/>
      <c r="Q339" s="152"/>
      <c r="R339" s="152"/>
      <c r="S339" s="152"/>
      <c r="T339" s="901"/>
      <c r="U339" s="201"/>
      <c r="V339" s="152"/>
      <c r="W339" s="152"/>
      <c r="X339" s="78"/>
      <c r="Y339" s="772"/>
      <c r="Z339" s="80"/>
    </row>
    <row r="340" spans="1:26">
      <c r="A340" s="156" t="str">
        <f t="shared" si="206"/>
        <v/>
      </c>
      <c r="B340" s="261"/>
      <c r="C340" s="725"/>
      <c r="D340" s="153"/>
      <c r="E340" s="557"/>
      <c r="F340" s="585"/>
      <c r="G340" s="585"/>
      <c r="H340" s="585"/>
      <c r="I340" s="585"/>
      <c r="J340" s="585"/>
      <c r="K340" s="585"/>
      <c r="L340" s="585"/>
      <c r="M340" s="175"/>
      <c r="N340" s="175"/>
      <c r="O340" s="175"/>
      <c r="P340" s="585"/>
      <c r="U340" s="201"/>
      <c r="Y340" s="189"/>
    </row>
    <row r="341" spans="1:26" s="452" customFormat="1" ht="23.25" customHeight="1" thickBot="1">
      <c r="A341" s="31" t="str">
        <f t="shared" si="206"/>
        <v/>
      </c>
      <c r="B341" s="287">
        <f>ROUNDDOWN(MAX($B$8:B340),0)+1</f>
        <v>10</v>
      </c>
      <c r="C341" s="724" t="s">
        <v>243</v>
      </c>
      <c r="D341" s="301"/>
      <c r="E341" s="558"/>
      <c r="F341" s="297"/>
      <c r="G341" s="297"/>
      <c r="H341" s="297"/>
      <c r="I341" s="579"/>
      <c r="J341" s="579"/>
      <c r="K341" s="579"/>
      <c r="L341" s="579"/>
      <c r="M341" s="298"/>
      <c r="N341" s="298"/>
      <c r="O341" s="298"/>
      <c r="P341" s="299"/>
      <c r="Q341" s="158"/>
      <c r="R341" s="158"/>
      <c r="S341" s="158"/>
      <c r="T341" s="902"/>
      <c r="U341" s="305"/>
      <c r="V341" s="158"/>
      <c r="W341" s="158"/>
      <c r="X341" s="159"/>
      <c r="Y341" s="160"/>
      <c r="Z341" s="161"/>
    </row>
    <row r="342" spans="1:26">
      <c r="A342" s="156" t="str">
        <f t="shared" si="206"/>
        <v/>
      </c>
      <c r="B342" s="261"/>
      <c r="C342" s="725"/>
      <c r="D342" s="153"/>
      <c r="E342" s="557"/>
      <c r="F342" s="585"/>
      <c r="G342" s="585"/>
      <c r="H342" s="585"/>
      <c r="I342" s="585"/>
      <c r="J342" s="585"/>
      <c r="K342" s="585"/>
      <c r="L342" s="585"/>
      <c r="M342" s="175"/>
      <c r="N342" s="175"/>
      <c r="O342" s="175"/>
      <c r="P342" s="585"/>
      <c r="U342" s="201"/>
      <c r="Y342" s="189"/>
    </row>
    <row r="343" spans="1:26" ht="13.5" thickBot="1">
      <c r="A343" s="156" t="str">
        <f t="shared" si="206"/>
        <v/>
      </c>
      <c r="B343" s="266">
        <f>MAX($B$8:B342)+0.01</f>
        <v>10.01</v>
      </c>
      <c r="C343" s="833" t="s">
        <v>298</v>
      </c>
      <c r="D343" s="836"/>
      <c r="E343" s="714"/>
      <c r="F343" s="693"/>
      <c r="G343" s="693"/>
      <c r="H343" s="694"/>
      <c r="I343" s="694"/>
      <c r="J343" s="694"/>
      <c r="K343" s="694"/>
      <c r="L343" s="694"/>
      <c r="M343" s="695"/>
      <c r="N343" s="695"/>
      <c r="O343" s="695"/>
      <c r="P343" s="697" t="s">
        <v>299</v>
      </c>
      <c r="U343" s="204"/>
      <c r="Y343" s="189"/>
      <c r="Z343" s="69"/>
    </row>
    <row r="344" spans="1:26">
      <c r="A344" s="183"/>
      <c r="B344" s="261"/>
      <c r="C344" s="820"/>
      <c r="D344" s="153"/>
      <c r="E344" s="710"/>
      <c r="F344" s="690"/>
      <c r="G344" s="690"/>
      <c r="H344" s="585"/>
      <c r="I344" s="585"/>
      <c r="J344" s="585"/>
      <c r="K344" s="585"/>
      <c r="L344" s="585"/>
      <c r="M344" s="175"/>
      <c r="N344" s="175"/>
      <c r="O344" s="175"/>
      <c r="P344" s="586"/>
      <c r="Q344" s="69"/>
      <c r="R344" s="69"/>
      <c r="S344" s="69"/>
      <c r="T344" s="903"/>
      <c r="U344" s="214" t="s">
        <v>491</v>
      </c>
      <c r="Y344" s="189"/>
      <c r="Z344" s="69"/>
    </row>
    <row r="345" spans="1:26">
      <c r="A345" s="156" t="str">
        <f t="shared" si="206"/>
        <v/>
      </c>
      <c r="B345" s="261"/>
      <c r="C345" s="727" t="s">
        <v>652</v>
      </c>
      <c r="D345" s="153"/>
      <c r="E345" s="710"/>
      <c r="F345" s="690"/>
      <c r="G345" s="690"/>
      <c r="H345" s="585"/>
      <c r="I345" s="585"/>
      <c r="J345" s="585"/>
      <c r="K345" s="585"/>
      <c r="L345" s="585"/>
      <c r="M345" s="175"/>
      <c r="N345" s="175"/>
      <c r="O345" s="175"/>
      <c r="P345" s="586"/>
      <c r="Q345" s="69"/>
      <c r="R345" s="69"/>
      <c r="S345" s="69"/>
      <c r="T345" s="903"/>
      <c r="U345" s="205"/>
      <c r="Y345" s="189"/>
      <c r="Z345" s="69"/>
    </row>
    <row r="346" spans="1:26">
      <c r="A346" s="156">
        <f t="shared" si="206"/>
        <v>346</v>
      </c>
      <c r="B346" s="262"/>
      <c r="C346" s="726" t="s">
        <v>648</v>
      </c>
      <c r="D346" s="153"/>
      <c r="E346" s="678">
        <v>50250</v>
      </c>
      <c r="F346" s="629">
        <v>2500</v>
      </c>
      <c r="G346" s="629">
        <v>250</v>
      </c>
      <c r="H346" s="630">
        <v>100</v>
      </c>
      <c r="I346" s="594">
        <f t="shared" ref="I346:I352" si="220">MROUND(E346*(1-$E$677/100)/F346,0.05)</f>
        <v>18.100000000000001</v>
      </c>
      <c r="J346" s="595">
        <f t="shared" ref="J346:J352" si="221">MROUND($E346*(1+$E$677/100)/2*$E$682/100/$G346,0.05)</f>
        <v>1.6500000000000001</v>
      </c>
      <c r="K346" s="600">
        <f t="shared" ref="K346:K352" si="222">MROUND($E346*(1+$E$677/100)/2*$E$678/100/$G346,0.05)</f>
        <v>11.600000000000001</v>
      </c>
      <c r="L346" s="601">
        <f t="shared" ref="L346:L352" si="223">SUM(I346:K346)</f>
        <v>31.35</v>
      </c>
      <c r="M346" s="691">
        <f t="shared" ref="M346:M352" si="224">MROUND($E346*$H346/100/$F346,0.05)</f>
        <v>20.100000000000001</v>
      </c>
      <c r="N346" s="650">
        <f t="shared" ref="N346:N352" si="225">MROUND(Y346*Z346,0.05)</f>
        <v>0</v>
      </c>
      <c r="O346" s="601">
        <f t="shared" ref="O346:O352" si="226">SUM(M346:N346)</f>
        <v>20.100000000000001</v>
      </c>
      <c r="P346" s="599">
        <f t="shared" ref="P346:P352" si="227">O346+L346</f>
        <v>51.45</v>
      </c>
      <c r="Q346" s="69"/>
      <c r="R346" s="69"/>
      <c r="S346" s="69"/>
      <c r="T346" s="903"/>
      <c r="U346" s="208" t="e">
        <f>#REF!*4</f>
        <v>#REF!</v>
      </c>
      <c r="V346" s="69"/>
      <c r="W346" s="69"/>
      <c r="Y346" s="189"/>
      <c r="Z346" s="69"/>
    </row>
    <row r="347" spans="1:26">
      <c r="A347" s="156">
        <f t="shared" si="206"/>
        <v>347</v>
      </c>
      <c r="B347" s="262"/>
      <c r="C347" s="726" t="s">
        <v>649</v>
      </c>
      <c r="D347" s="153"/>
      <c r="E347" s="678">
        <v>54750</v>
      </c>
      <c r="F347" s="629">
        <v>2500</v>
      </c>
      <c r="G347" s="629">
        <v>250</v>
      </c>
      <c r="H347" s="630">
        <v>100</v>
      </c>
      <c r="I347" s="594">
        <f t="shared" si="220"/>
        <v>19.700000000000003</v>
      </c>
      <c r="J347" s="595">
        <f t="shared" si="221"/>
        <v>1.8</v>
      </c>
      <c r="K347" s="600">
        <f t="shared" si="222"/>
        <v>12.65</v>
      </c>
      <c r="L347" s="601">
        <f t="shared" si="223"/>
        <v>34.150000000000006</v>
      </c>
      <c r="M347" s="691">
        <f t="shared" si="224"/>
        <v>21.900000000000002</v>
      </c>
      <c r="N347" s="650">
        <f t="shared" si="225"/>
        <v>0</v>
      </c>
      <c r="O347" s="601">
        <f t="shared" si="226"/>
        <v>21.900000000000002</v>
      </c>
      <c r="P347" s="599">
        <f t="shared" si="227"/>
        <v>56.050000000000011</v>
      </c>
      <c r="Q347" s="69"/>
      <c r="R347" s="69"/>
      <c r="S347" s="69"/>
      <c r="T347" s="903"/>
      <c r="U347" s="208" t="e">
        <f>#REF!*4</f>
        <v>#REF!</v>
      </c>
      <c r="V347" s="69"/>
      <c r="W347" s="69"/>
      <c r="Y347" s="189"/>
      <c r="Z347" s="69"/>
    </row>
    <row r="348" spans="1:26">
      <c r="A348" s="156">
        <f t="shared" si="206"/>
        <v>348</v>
      </c>
      <c r="B348" s="262"/>
      <c r="C348" s="726" t="s">
        <v>650</v>
      </c>
      <c r="D348" s="153"/>
      <c r="E348" s="678">
        <v>59500</v>
      </c>
      <c r="F348" s="629">
        <v>2500</v>
      </c>
      <c r="G348" s="629">
        <v>250</v>
      </c>
      <c r="H348" s="630">
        <v>100</v>
      </c>
      <c r="I348" s="594">
        <f t="shared" si="220"/>
        <v>21.400000000000002</v>
      </c>
      <c r="J348" s="595">
        <f t="shared" si="221"/>
        <v>1.9500000000000002</v>
      </c>
      <c r="K348" s="600">
        <f t="shared" si="222"/>
        <v>13.75</v>
      </c>
      <c r="L348" s="601">
        <f t="shared" si="223"/>
        <v>37.1</v>
      </c>
      <c r="M348" s="691">
        <f t="shared" si="224"/>
        <v>23.8</v>
      </c>
      <c r="N348" s="650">
        <f t="shared" si="225"/>
        <v>0</v>
      </c>
      <c r="O348" s="601">
        <f t="shared" si="226"/>
        <v>23.8</v>
      </c>
      <c r="P348" s="599">
        <f t="shared" si="227"/>
        <v>60.900000000000006</v>
      </c>
      <c r="Q348" s="69"/>
      <c r="R348" s="69"/>
      <c r="S348" s="69"/>
      <c r="T348" s="903"/>
      <c r="U348" s="208" t="e">
        <f>#REF!*4</f>
        <v>#REF!</v>
      </c>
      <c r="V348" s="69"/>
      <c r="W348" s="69"/>
      <c r="Y348" s="189"/>
      <c r="Z348" s="69"/>
    </row>
    <row r="349" spans="1:26">
      <c r="A349" s="156">
        <f t="shared" si="206"/>
        <v>349</v>
      </c>
      <c r="B349" s="262"/>
      <c r="C349" s="726" t="s">
        <v>651</v>
      </c>
      <c r="D349" s="153"/>
      <c r="E349" s="678">
        <v>70750</v>
      </c>
      <c r="F349" s="629">
        <v>2500</v>
      </c>
      <c r="G349" s="629">
        <v>250</v>
      </c>
      <c r="H349" s="630">
        <v>100</v>
      </c>
      <c r="I349" s="594">
        <f t="shared" si="220"/>
        <v>25.450000000000003</v>
      </c>
      <c r="J349" s="595">
        <f t="shared" si="221"/>
        <v>2.35</v>
      </c>
      <c r="K349" s="600">
        <f t="shared" si="222"/>
        <v>16.350000000000001</v>
      </c>
      <c r="L349" s="601">
        <f t="shared" si="223"/>
        <v>44.150000000000006</v>
      </c>
      <c r="M349" s="691">
        <f t="shared" si="224"/>
        <v>28.3</v>
      </c>
      <c r="N349" s="650">
        <f t="shared" si="225"/>
        <v>0</v>
      </c>
      <c r="O349" s="601">
        <f t="shared" si="226"/>
        <v>28.3</v>
      </c>
      <c r="P349" s="599">
        <f t="shared" si="227"/>
        <v>72.45</v>
      </c>
      <c r="Q349" s="69"/>
      <c r="R349" s="69"/>
      <c r="S349" s="69"/>
      <c r="T349" s="903"/>
      <c r="U349" s="208" t="e">
        <f>#REF!*4</f>
        <v>#REF!</v>
      </c>
      <c r="V349" s="69"/>
      <c r="W349" s="69"/>
      <c r="Y349" s="189"/>
      <c r="Z349" s="69"/>
    </row>
    <row r="350" spans="1:26">
      <c r="A350" s="156">
        <f t="shared" si="206"/>
        <v>350</v>
      </c>
      <c r="B350" s="262"/>
      <c r="C350" s="726" t="s">
        <v>653</v>
      </c>
      <c r="D350" s="153"/>
      <c r="E350" s="678">
        <v>81750</v>
      </c>
      <c r="F350" s="629">
        <v>2500</v>
      </c>
      <c r="G350" s="629">
        <v>250</v>
      </c>
      <c r="H350" s="630">
        <v>100</v>
      </c>
      <c r="I350" s="594">
        <f t="shared" si="220"/>
        <v>29.450000000000003</v>
      </c>
      <c r="J350" s="595">
        <f t="shared" si="221"/>
        <v>2.7</v>
      </c>
      <c r="K350" s="600">
        <f t="shared" si="222"/>
        <v>18.900000000000002</v>
      </c>
      <c r="L350" s="601">
        <f t="shared" si="223"/>
        <v>51.050000000000011</v>
      </c>
      <c r="M350" s="691">
        <f t="shared" si="224"/>
        <v>32.700000000000003</v>
      </c>
      <c r="N350" s="650">
        <f t="shared" si="225"/>
        <v>0</v>
      </c>
      <c r="O350" s="601">
        <f t="shared" si="226"/>
        <v>32.700000000000003</v>
      </c>
      <c r="P350" s="599">
        <f t="shared" si="227"/>
        <v>83.750000000000014</v>
      </c>
      <c r="Q350" s="69"/>
      <c r="R350" s="69"/>
      <c r="S350" s="69"/>
      <c r="T350" s="903"/>
      <c r="U350" s="208" t="e">
        <f>#REF!*4</f>
        <v>#REF!</v>
      </c>
      <c r="V350" s="69"/>
      <c r="W350" s="69"/>
      <c r="Y350" s="189"/>
      <c r="Z350" s="69"/>
    </row>
    <row r="351" spans="1:26">
      <c r="A351" s="156">
        <f t="shared" si="206"/>
        <v>351</v>
      </c>
      <c r="B351" s="262"/>
      <c r="C351" s="726" t="s">
        <v>654</v>
      </c>
      <c r="D351" s="153"/>
      <c r="E351" s="678">
        <v>119750</v>
      </c>
      <c r="F351" s="629">
        <v>2500</v>
      </c>
      <c r="G351" s="629">
        <v>250</v>
      </c>
      <c r="H351" s="630">
        <v>100</v>
      </c>
      <c r="I351" s="594">
        <f t="shared" si="220"/>
        <v>43.1</v>
      </c>
      <c r="J351" s="595">
        <f t="shared" si="221"/>
        <v>3.95</v>
      </c>
      <c r="K351" s="600">
        <f t="shared" si="222"/>
        <v>27.650000000000002</v>
      </c>
      <c r="L351" s="601">
        <f t="shared" si="223"/>
        <v>74.7</v>
      </c>
      <c r="M351" s="691">
        <f t="shared" si="224"/>
        <v>47.900000000000006</v>
      </c>
      <c r="N351" s="650">
        <f t="shared" si="225"/>
        <v>0</v>
      </c>
      <c r="O351" s="601">
        <f t="shared" si="226"/>
        <v>47.900000000000006</v>
      </c>
      <c r="P351" s="599">
        <f t="shared" si="227"/>
        <v>122.60000000000001</v>
      </c>
      <c r="Q351" s="69"/>
      <c r="R351" s="69"/>
      <c r="S351" s="69"/>
      <c r="T351" s="903"/>
      <c r="U351" s="208" t="e">
        <f>#REF!*4</f>
        <v>#REF!</v>
      </c>
      <c r="V351" s="69"/>
      <c r="W351" s="69"/>
      <c r="Y351" s="189"/>
      <c r="Z351" s="69"/>
    </row>
    <row r="352" spans="1:26">
      <c r="A352" s="156">
        <f t="shared" si="206"/>
        <v>352</v>
      </c>
      <c r="B352" s="262"/>
      <c r="C352" s="726" t="s">
        <v>655</v>
      </c>
      <c r="D352" s="153"/>
      <c r="E352" s="678">
        <v>244500</v>
      </c>
      <c r="F352" s="629">
        <v>2500</v>
      </c>
      <c r="G352" s="629">
        <v>250</v>
      </c>
      <c r="H352" s="630">
        <v>100</v>
      </c>
      <c r="I352" s="594">
        <f t="shared" si="220"/>
        <v>88</v>
      </c>
      <c r="J352" s="595">
        <f t="shared" si="221"/>
        <v>8.0500000000000007</v>
      </c>
      <c r="K352" s="600">
        <f t="shared" si="222"/>
        <v>56.5</v>
      </c>
      <c r="L352" s="601">
        <f t="shared" si="223"/>
        <v>152.55000000000001</v>
      </c>
      <c r="M352" s="691">
        <f t="shared" si="224"/>
        <v>97.800000000000011</v>
      </c>
      <c r="N352" s="650">
        <f t="shared" si="225"/>
        <v>0</v>
      </c>
      <c r="O352" s="601">
        <f t="shared" si="226"/>
        <v>97.800000000000011</v>
      </c>
      <c r="P352" s="599">
        <f t="shared" si="227"/>
        <v>250.35000000000002</v>
      </c>
      <c r="Q352" s="69"/>
      <c r="R352" s="69"/>
      <c r="S352" s="69"/>
      <c r="T352" s="903"/>
      <c r="U352" s="208" t="e">
        <f>#REF!*4</f>
        <v>#REF!</v>
      </c>
      <c r="V352" s="69"/>
      <c r="W352" s="69"/>
      <c r="Y352" s="189"/>
      <c r="Z352" s="69"/>
    </row>
    <row r="353" spans="1:26">
      <c r="A353" s="156" t="str">
        <f t="shared" si="206"/>
        <v/>
      </c>
      <c r="B353" s="261"/>
      <c r="C353" s="820"/>
      <c r="D353" s="153"/>
      <c r="E353" s="790"/>
      <c r="F353" s="690"/>
      <c r="G353" s="690"/>
      <c r="H353" s="585"/>
      <c r="I353" s="585"/>
      <c r="J353" s="585"/>
      <c r="K353" s="585"/>
      <c r="L353" s="585"/>
      <c r="M353" s="175"/>
      <c r="N353" s="175"/>
      <c r="O353" s="175"/>
      <c r="P353" s="586"/>
      <c r="Q353" s="69"/>
      <c r="R353" s="69"/>
      <c r="S353" s="69"/>
      <c r="T353" s="903"/>
      <c r="U353" s="205"/>
      <c r="Y353" s="189"/>
      <c r="Z353" s="69"/>
    </row>
    <row r="354" spans="1:26">
      <c r="A354" s="156" t="str">
        <f t="shared" si="206"/>
        <v/>
      </c>
      <c r="B354" s="261"/>
      <c r="C354" s="727" t="s">
        <v>285</v>
      </c>
      <c r="D354" s="153"/>
      <c r="E354" s="790"/>
      <c r="F354" s="690"/>
      <c r="G354" s="690"/>
      <c r="H354" s="585"/>
      <c r="I354" s="585"/>
      <c r="J354" s="585"/>
      <c r="K354" s="585"/>
      <c r="L354" s="585"/>
      <c r="M354" s="175"/>
      <c r="N354" s="175"/>
      <c r="O354" s="175"/>
      <c r="P354" s="586"/>
      <c r="Q354" s="69"/>
      <c r="R354" s="69"/>
      <c r="S354" s="69"/>
      <c r="T354" s="903"/>
      <c r="U354" s="205"/>
      <c r="Y354" s="189"/>
      <c r="Z354" s="69"/>
    </row>
    <row r="355" spans="1:26">
      <c r="A355" s="310">
        <f t="shared" ref="A355:A361" si="228">IF(ISNUMBER(E355),ROW(),"")</f>
        <v>355</v>
      </c>
      <c r="B355" s="262"/>
      <c r="C355" s="726" t="s">
        <v>1329</v>
      </c>
      <c r="D355" s="153"/>
      <c r="E355" s="678">
        <v>615750</v>
      </c>
      <c r="F355" s="629">
        <v>2500</v>
      </c>
      <c r="G355" s="629">
        <v>250</v>
      </c>
      <c r="H355" s="630">
        <v>100</v>
      </c>
      <c r="I355" s="594">
        <f t="shared" ref="I355:I370" si="229">MROUND(E355*(1-$E$677/100)/F355,0.05)</f>
        <v>221.65</v>
      </c>
      <c r="J355" s="595">
        <f t="shared" ref="J355:J370" si="230">MROUND($E355*(1+$E$677/100)/2*$E$682/100/$G355,0.05)</f>
        <v>20.3</v>
      </c>
      <c r="K355" s="600">
        <f t="shared" ref="K355:K370" si="231">MROUND($E355*(1+$E$677/100)/2*$E$678/100/$G355,0.05)</f>
        <v>142.25</v>
      </c>
      <c r="L355" s="601">
        <f t="shared" ref="L355:L361" si="232">SUM(I355:K355)</f>
        <v>384.20000000000005</v>
      </c>
      <c r="M355" s="691">
        <f t="shared" ref="M355:M370" si="233">MROUND($E355*$H355/100/$F355,0.05)</f>
        <v>246.3</v>
      </c>
      <c r="N355" s="650">
        <f t="shared" ref="N355:N361" si="234">MROUND(Y355*Z355,0.05)</f>
        <v>0</v>
      </c>
      <c r="O355" s="601">
        <f t="shared" ref="O355:O361" si="235">SUM(M355:N355)</f>
        <v>246.3</v>
      </c>
      <c r="P355" s="599">
        <f t="shared" ref="P355:P361" si="236">O355+L355</f>
        <v>630.5</v>
      </c>
      <c r="Q355" s="69"/>
      <c r="R355" s="69"/>
      <c r="S355" s="69"/>
      <c r="T355" s="903"/>
      <c r="U355" s="208">
        <v>70</v>
      </c>
      <c r="V355" s="69"/>
      <c r="W355" s="69"/>
      <c r="Y355" s="772"/>
      <c r="Z355" s="69"/>
    </row>
    <row r="356" spans="1:26">
      <c r="A356" s="310">
        <f t="shared" si="228"/>
        <v>356</v>
      </c>
      <c r="B356" s="262"/>
      <c r="C356" s="726" t="s">
        <v>1330</v>
      </c>
      <c r="D356" s="153"/>
      <c r="E356" s="678">
        <v>628750</v>
      </c>
      <c r="F356" s="629">
        <v>2500</v>
      </c>
      <c r="G356" s="629">
        <v>250</v>
      </c>
      <c r="H356" s="630">
        <v>100</v>
      </c>
      <c r="I356" s="594">
        <f t="shared" si="229"/>
        <v>226.35000000000002</v>
      </c>
      <c r="J356" s="595">
        <f t="shared" si="230"/>
        <v>20.75</v>
      </c>
      <c r="K356" s="600">
        <f t="shared" si="231"/>
        <v>145.25</v>
      </c>
      <c r="L356" s="601">
        <f t="shared" si="232"/>
        <v>392.35</v>
      </c>
      <c r="M356" s="691">
        <f t="shared" si="233"/>
        <v>251.5</v>
      </c>
      <c r="N356" s="650">
        <f t="shared" si="234"/>
        <v>0</v>
      </c>
      <c r="O356" s="601">
        <f t="shared" si="235"/>
        <v>251.5</v>
      </c>
      <c r="P356" s="599">
        <f t="shared" si="236"/>
        <v>643.85</v>
      </c>
      <c r="Q356" s="69"/>
      <c r="R356" s="69"/>
      <c r="S356" s="69"/>
      <c r="T356" s="903"/>
      <c r="U356" s="208">
        <v>70</v>
      </c>
      <c r="V356" s="69"/>
      <c r="W356" s="69"/>
      <c r="Y356" s="772"/>
      <c r="Z356" s="69"/>
    </row>
    <row r="357" spans="1:26">
      <c r="A357" s="310">
        <f t="shared" si="228"/>
        <v>357</v>
      </c>
      <c r="B357" s="262"/>
      <c r="C357" s="726" t="s">
        <v>1331</v>
      </c>
      <c r="D357" s="153"/>
      <c r="E357" s="678">
        <v>636250</v>
      </c>
      <c r="F357" s="629">
        <v>2500</v>
      </c>
      <c r="G357" s="629">
        <v>250</v>
      </c>
      <c r="H357" s="630">
        <v>100</v>
      </c>
      <c r="I357" s="594">
        <f t="shared" si="229"/>
        <v>229.05</v>
      </c>
      <c r="J357" s="595">
        <f t="shared" si="230"/>
        <v>21</v>
      </c>
      <c r="K357" s="600">
        <f t="shared" si="231"/>
        <v>146.95000000000002</v>
      </c>
      <c r="L357" s="601">
        <f t="shared" si="232"/>
        <v>397</v>
      </c>
      <c r="M357" s="691">
        <f t="shared" si="233"/>
        <v>254.5</v>
      </c>
      <c r="N357" s="650">
        <f t="shared" si="234"/>
        <v>0</v>
      </c>
      <c r="O357" s="601">
        <f t="shared" si="235"/>
        <v>254.5</v>
      </c>
      <c r="P357" s="599">
        <f t="shared" si="236"/>
        <v>651.5</v>
      </c>
      <c r="Q357" s="69"/>
      <c r="R357" s="69"/>
      <c r="S357" s="69"/>
      <c r="T357" s="903"/>
      <c r="U357" s="208">
        <v>70</v>
      </c>
      <c r="V357" s="69"/>
      <c r="W357" s="69"/>
      <c r="Y357" s="772"/>
      <c r="Z357" s="69"/>
    </row>
    <row r="358" spans="1:26">
      <c r="A358" s="310">
        <f t="shared" si="228"/>
        <v>358</v>
      </c>
      <c r="B358" s="262"/>
      <c r="C358" s="726" t="s">
        <v>1332</v>
      </c>
      <c r="D358" s="153"/>
      <c r="E358" s="678">
        <v>667000</v>
      </c>
      <c r="F358" s="629">
        <v>2500</v>
      </c>
      <c r="G358" s="629">
        <v>250</v>
      </c>
      <c r="H358" s="630">
        <v>100</v>
      </c>
      <c r="I358" s="594">
        <f t="shared" si="229"/>
        <v>240.10000000000002</v>
      </c>
      <c r="J358" s="595">
        <f t="shared" si="230"/>
        <v>22</v>
      </c>
      <c r="K358" s="600">
        <f t="shared" si="231"/>
        <v>154.10000000000002</v>
      </c>
      <c r="L358" s="601">
        <f t="shared" si="232"/>
        <v>416.20000000000005</v>
      </c>
      <c r="M358" s="691">
        <f t="shared" si="233"/>
        <v>266.8</v>
      </c>
      <c r="N358" s="650">
        <f t="shared" si="234"/>
        <v>0</v>
      </c>
      <c r="O358" s="601">
        <f t="shared" si="235"/>
        <v>266.8</v>
      </c>
      <c r="P358" s="599">
        <f t="shared" si="236"/>
        <v>683</v>
      </c>
      <c r="Q358" s="69"/>
      <c r="R358" s="69"/>
      <c r="S358" s="69"/>
      <c r="T358" s="903"/>
      <c r="U358" s="208">
        <v>70</v>
      </c>
      <c r="V358" s="69"/>
      <c r="W358" s="69"/>
      <c r="Y358" s="772"/>
      <c r="Z358" s="69"/>
    </row>
    <row r="359" spans="1:26">
      <c r="A359" s="310">
        <f t="shared" si="228"/>
        <v>359</v>
      </c>
      <c r="B359" s="262"/>
      <c r="C359" s="726" t="s">
        <v>1333</v>
      </c>
      <c r="D359" s="153"/>
      <c r="E359" s="678">
        <v>913250</v>
      </c>
      <c r="F359" s="629">
        <v>2500</v>
      </c>
      <c r="G359" s="629">
        <v>250</v>
      </c>
      <c r="H359" s="630">
        <v>100</v>
      </c>
      <c r="I359" s="594">
        <f t="shared" si="229"/>
        <v>328.75</v>
      </c>
      <c r="J359" s="595">
        <f t="shared" si="230"/>
        <v>30.150000000000002</v>
      </c>
      <c r="K359" s="600">
        <f t="shared" si="231"/>
        <v>210.95000000000002</v>
      </c>
      <c r="L359" s="601">
        <f t="shared" si="232"/>
        <v>569.85</v>
      </c>
      <c r="M359" s="691">
        <f t="shared" si="233"/>
        <v>365.3</v>
      </c>
      <c r="N359" s="650">
        <f t="shared" si="234"/>
        <v>0</v>
      </c>
      <c r="O359" s="601">
        <f t="shared" si="235"/>
        <v>365.3</v>
      </c>
      <c r="P359" s="599">
        <f t="shared" si="236"/>
        <v>935.15000000000009</v>
      </c>
      <c r="Q359" s="69"/>
      <c r="R359" s="69"/>
      <c r="S359" s="69"/>
      <c r="T359" s="903"/>
      <c r="U359" s="208">
        <v>70</v>
      </c>
      <c r="V359" s="69"/>
      <c r="W359" s="69"/>
      <c r="Y359" s="772"/>
      <c r="Z359" s="69"/>
    </row>
    <row r="360" spans="1:26">
      <c r="A360" s="310">
        <f t="shared" si="228"/>
        <v>360</v>
      </c>
      <c r="B360" s="262"/>
      <c r="C360" s="726" t="s">
        <v>1334</v>
      </c>
      <c r="D360" s="153"/>
      <c r="E360" s="678">
        <v>922750</v>
      </c>
      <c r="F360" s="629">
        <v>2500</v>
      </c>
      <c r="G360" s="629">
        <v>250</v>
      </c>
      <c r="H360" s="630">
        <v>100</v>
      </c>
      <c r="I360" s="594">
        <f t="shared" si="229"/>
        <v>332.20000000000005</v>
      </c>
      <c r="J360" s="595">
        <f t="shared" si="230"/>
        <v>30.450000000000003</v>
      </c>
      <c r="K360" s="600">
        <f t="shared" si="231"/>
        <v>213.15</v>
      </c>
      <c r="L360" s="601">
        <f t="shared" si="232"/>
        <v>575.80000000000007</v>
      </c>
      <c r="M360" s="691">
        <f t="shared" si="233"/>
        <v>369.1</v>
      </c>
      <c r="N360" s="650">
        <f t="shared" si="234"/>
        <v>0</v>
      </c>
      <c r="O360" s="601">
        <f t="shared" si="235"/>
        <v>369.1</v>
      </c>
      <c r="P360" s="599">
        <f t="shared" si="236"/>
        <v>944.90000000000009</v>
      </c>
      <c r="Q360" s="69"/>
      <c r="R360" s="69"/>
      <c r="S360" s="69"/>
      <c r="T360" s="903"/>
      <c r="U360" s="208">
        <v>70</v>
      </c>
      <c r="V360" s="69"/>
      <c r="W360" s="69"/>
      <c r="Y360" s="772"/>
      <c r="Z360" s="69"/>
    </row>
    <row r="361" spans="1:26">
      <c r="A361" s="310">
        <f t="shared" si="228"/>
        <v>361</v>
      </c>
      <c r="B361" s="262"/>
      <c r="C361" s="726" t="s">
        <v>1335</v>
      </c>
      <c r="D361" s="153"/>
      <c r="E361" s="678">
        <v>932250</v>
      </c>
      <c r="F361" s="629">
        <v>2500</v>
      </c>
      <c r="G361" s="629">
        <v>250</v>
      </c>
      <c r="H361" s="630">
        <v>100</v>
      </c>
      <c r="I361" s="594">
        <f t="shared" si="229"/>
        <v>335.6</v>
      </c>
      <c r="J361" s="595">
        <f t="shared" si="230"/>
        <v>30.75</v>
      </c>
      <c r="K361" s="600">
        <f t="shared" si="231"/>
        <v>215.35000000000002</v>
      </c>
      <c r="L361" s="601">
        <f t="shared" si="232"/>
        <v>581.70000000000005</v>
      </c>
      <c r="M361" s="691">
        <f t="shared" si="233"/>
        <v>372.90000000000003</v>
      </c>
      <c r="N361" s="650">
        <f t="shared" si="234"/>
        <v>0</v>
      </c>
      <c r="O361" s="601">
        <f t="shared" si="235"/>
        <v>372.90000000000003</v>
      </c>
      <c r="P361" s="599">
        <f t="shared" si="236"/>
        <v>954.60000000000014</v>
      </c>
      <c r="Q361" s="69"/>
      <c r="R361" s="69"/>
      <c r="S361" s="69"/>
      <c r="T361" s="903"/>
      <c r="U361" s="208">
        <v>70</v>
      </c>
      <c r="V361" s="69"/>
      <c r="W361" s="69"/>
      <c r="Y361" s="772"/>
      <c r="Z361" s="69"/>
    </row>
    <row r="362" spans="1:26">
      <c r="A362" s="183">
        <f t="shared" si="206"/>
        <v>362</v>
      </c>
      <c r="B362" s="262"/>
      <c r="C362" s="726" t="s">
        <v>656</v>
      </c>
      <c r="D362" s="153"/>
      <c r="E362" s="678">
        <v>690500</v>
      </c>
      <c r="F362" s="629">
        <v>2500</v>
      </c>
      <c r="G362" s="629">
        <v>250</v>
      </c>
      <c r="H362" s="630">
        <v>100</v>
      </c>
      <c r="I362" s="594">
        <f t="shared" si="229"/>
        <v>248.60000000000002</v>
      </c>
      <c r="J362" s="595">
        <f t="shared" si="230"/>
        <v>22.8</v>
      </c>
      <c r="K362" s="600">
        <f t="shared" si="231"/>
        <v>159.5</v>
      </c>
      <c r="L362" s="601">
        <f t="shared" ref="L362:L370" si="237">SUM(I362:K362)</f>
        <v>430.90000000000003</v>
      </c>
      <c r="M362" s="691">
        <f t="shared" si="233"/>
        <v>276.2</v>
      </c>
      <c r="N362" s="650">
        <f t="shared" ref="N362:N370" si="238">MROUND(Y362*Z362,0.05)</f>
        <v>0</v>
      </c>
      <c r="O362" s="601">
        <f t="shared" ref="O362:O370" si="239">SUM(M362:N362)</f>
        <v>276.2</v>
      </c>
      <c r="P362" s="599">
        <f t="shared" ref="P362:P370" si="240">O362+L362</f>
        <v>707.1</v>
      </c>
      <c r="Q362" s="69"/>
      <c r="R362" s="69"/>
      <c r="S362" s="69"/>
      <c r="T362" s="903"/>
      <c r="U362" s="208">
        <v>70</v>
      </c>
      <c r="V362" s="69"/>
      <c r="W362" s="69"/>
      <c r="Y362" s="218"/>
      <c r="Z362" s="69"/>
    </row>
    <row r="363" spans="1:26">
      <c r="A363" s="183">
        <f>IF(ISNUMBER(E363),ROW(),"")</f>
        <v>363</v>
      </c>
      <c r="B363" s="262"/>
      <c r="C363" s="726" t="s">
        <v>657</v>
      </c>
      <c r="D363" s="153"/>
      <c r="E363" s="678">
        <v>748000</v>
      </c>
      <c r="F363" s="629">
        <v>2500</v>
      </c>
      <c r="G363" s="629">
        <v>250</v>
      </c>
      <c r="H363" s="630">
        <v>100</v>
      </c>
      <c r="I363" s="594">
        <f t="shared" si="229"/>
        <v>269.3</v>
      </c>
      <c r="J363" s="595">
        <f t="shared" si="230"/>
        <v>24.700000000000003</v>
      </c>
      <c r="K363" s="600">
        <f t="shared" si="231"/>
        <v>172.8</v>
      </c>
      <c r="L363" s="601">
        <f t="shared" si="237"/>
        <v>466.8</v>
      </c>
      <c r="M363" s="691">
        <f t="shared" si="233"/>
        <v>299.2</v>
      </c>
      <c r="N363" s="650">
        <f t="shared" si="238"/>
        <v>0</v>
      </c>
      <c r="O363" s="601">
        <f t="shared" si="239"/>
        <v>299.2</v>
      </c>
      <c r="P363" s="599">
        <f t="shared" si="240"/>
        <v>766</v>
      </c>
      <c r="Q363" s="69"/>
      <c r="R363" s="69"/>
      <c r="S363" s="69"/>
      <c r="T363" s="903"/>
      <c r="U363" s="208" t="e">
        <f>#REF!*4</f>
        <v>#REF!</v>
      </c>
      <c r="V363" s="69"/>
      <c r="W363" s="69"/>
      <c r="Y363" s="218"/>
      <c r="Z363" s="69"/>
    </row>
    <row r="364" spans="1:26">
      <c r="A364" s="156">
        <f t="shared" si="206"/>
        <v>364</v>
      </c>
      <c r="B364" s="262"/>
      <c r="C364" s="726" t="s">
        <v>660</v>
      </c>
      <c r="D364" s="153"/>
      <c r="E364" s="678">
        <v>925750</v>
      </c>
      <c r="F364" s="629">
        <v>2500</v>
      </c>
      <c r="G364" s="629">
        <v>250</v>
      </c>
      <c r="H364" s="630">
        <v>100</v>
      </c>
      <c r="I364" s="594">
        <f t="shared" si="229"/>
        <v>333.25</v>
      </c>
      <c r="J364" s="595">
        <f t="shared" si="230"/>
        <v>30.55</v>
      </c>
      <c r="K364" s="600">
        <f t="shared" si="231"/>
        <v>213.85000000000002</v>
      </c>
      <c r="L364" s="601">
        <f t="shared" si="237"/>
        <v>577.65000000000009</v>
      </c>
      <c r="M364" s="691">
        <f t="shared" si="233"/>
        <v>370.3</v>
      </c>
      <c r="N364" s="650">
        <f t="shared" si="238"/>
        <v>0</v>
      </c>
      <c r="O364" s="601">
        <f t="shared" si="239"/>
        <v>370.3</v>
      </c>
      <c r="P364" s="599">
        <f t="shared" si="240"/>
        <v>947.95</v>
      </c>
      <c r="Q364" s="69"/>
      <c r="R364" s="69"/>
      <c r="S364" s="69"/>
      <c r="T364" s="903"/>
      <c r="U364" s="208">
        <v>95</v>
      </c>
      <c r="V364" s="69"/>
      <c r="W364" s="69"/>
      <c r="Y364" s="189"/>
      <c r="Z364" s="69"/>
    </row>
    <row r="365" spans="1:26">
      <c r="A365" s="310">
        <f t="shared" ref="A365:A368" si="241">IF(ISNUMBER(E365),ROW(),"")</f>
        <v>365</v>
      </c>
      <c r="B365" s="262"/>
      <c r="C365" s="726" t="s">
        <v>661</v>
      </c>
      <c r="D365" s="153"/>
      <c r="E365" s="678">
        <v>1150000</v>
      </c>
      <c r="F365" s="629">
        <v>2500</v>
      </c>
      <c r="G365" s="629">
        <v>250</v>
      </c>
      <c r="H365" s="630">
        <v>100</v>
      </c>
      <c r="I365" s="594">
        <f t="shared" si="229"/>
        <v>414</v>
      </c>
      <c r="J365" s="595">
        <f t="shared" si="230"/>
        <v>37.950000000000003</v>
      </c>
      <c r="K365" s="600">
        <f t="shared" si="231"/>
        <v>265.65000000000003</v>
      </c>
      <c r="L365" s="601">
        <f t="shared" si="237"/>
        <v>717.6</v>
      </c>
      <c r="M365" s="691">
        <f t="shared" si="233"/>
        <v>460</v>
      </c>
      <c r="N365" s="650">
        <f t="shared" si="238"/>
        <v>0</v>
      </c>
      <c r="O365" s="601">
        <f t="shared" si="239"/>
        <v>460</v>
      </c>
      <c r="P365" s="599">
        <f t="shared" si="240"/>
        <v>1177.5999999999999</v>
      </c>
      <c r="Q365" s="69"/>
      <c r="R365" s="69"/>
      <c r="S365" s="69"/>
      <c r="T365" s="903"/>
      <c r="U365" s="208" t="e">
        <f>#REF!*4</f>
        <v>#REF!</v>
      </c>
      <c r="V365" s="69"/>
      <c r="W365" s="69"/>
      <c r="Y365" s="443"/>
      <c r="Z365" s="69"/>
    </row>
    <row r="366" spans="1:26">
      <c r="A366" s="310">
        <f t="shared" si="241"/>
        <v>366</v>
      </c>
      <c r="B366" s="262"/>
      <c r="C366" s="726" t="s">
        <v>662</v>
      </c>
      <c r="D366" s="153"/>
      <c r="E366" s="678">
        <v>1212750</v>
      </c>
      <c r="F366" s="629">
        <v>2500</v>
      </c>
      <c r="G366" s="629">
        <v>250</v>
      </c>
      <c r="H366" s="630">
        <v>100</v>
      </c>
      <c r="I366" s="594">
        <f t="shared" si="229"/>
        <v>436.6</v>
      </c>
      <c r="J366" s="595">
        <f t="shared" si="230"/>
        <v>40</v>
      </c>
      <c r="K366" s="600">
        <f t="shared" si="231"/>
        <v>280.15000000000003</v>
      </c>
      <c r="L366" s="601">
        <f t="shared" si="237"/>
        <v>756.75</v>
      </c>
      <c r="M366" s="691">
        <f t="shared" si="233"/>
        <v>485.1</v>
      </c>
      <c r="N366" s="650">
        <f t="shared" si="238"/>
        <v>0</v>
      </c>
      <c r="O366" s="601">
        <f t="shared" si="239"/>
        <v>485.1</v>
      </c>
      <c r="P366" s="599">
        <f t="shared" si="240"/>
        <v>1241.8499999999999</v>
      </c>
      <c r="Q366" s="69"/>
      <c r="R366" s="69"/>
      <c r="S366" s="69"/>
      <c r="T366" s="903"/>
      <c r="U366" s="208">
        <v>145</v>
      </c>
      <c r="V366" s="69"/>
      <c r="W366" s="69"/>
      <c r="Y366" s="443"/>
      <c r="Z366" s="69"/>
    </row>
    <row r="367" spans="1:26">
      <c r="A367" s="310">
        <f t="shared" si="241"/>
        <v>367</v>
      </c>
      <c r="B367" s="262"/>
      <c r="C367" s="726" t="s">
        <v>1336</v>
      </c>
      <c r="D367" s="153"/>
      <c r="E367" s="678">
        <v>1250000</v>
      </c>
      <c r="F367" s="629">
        <v>2500</v>
      </c>
      <c r="G367" s="629">
        <v>250</v>
      </c>
      <c r="H367" s="630">
        <v>100</v>
      </c>
      <c r="I367" s="594">
        <f t="shared" si="229"/>
        <v>450</v>
      </c>
      <c r="J367" s="595">
        <f t="shared" si="230"/>
        <v>41.25</v>
      </c>
      <c r="K367" s="600">
        <f t="shared" si="231"/>
        <v>288.75</v>
      </c>
      <c r="L367" s="601">
        <f t="shared" ref="L367:L368" si="242">SUM(I367:K367)</f>
        <v>780</v>
      </c>
      <c r="M367" s="691">
        <f t="shared" si="233"/>
        <v>500</v>
      </c>
      <c r="N367" s="650">
        <f t="shared" ref="N367:N368" si="243">MROUND(Y367*Z367,0.05)</f>
        <v>0</v>
      </c>
      <c r="O367" s="601">
        <f t="shared" ref="O367:O368" si="244">SUM(M367:N367)</f>
        <v>500</v>
      </c>
      <c r="P367" s="599">
        <f t="shared" ref="P367:P368" si="245">O367+L367</f>
        <v>1280</v>
      </c>
      <c r="Q367" s="69"/>
      <c r="R367" s="69"/>
      <c r="S367" s="69"/>
      <c r="T367" s="903"/>
      <c r="U367" s="208" t="e">
        <f>#REF!*4</f>
        <v>#REF!</v>
      </c>
      <c r="V367" s="69"/>
      <c r="W367" s="69"/>
      <c r="Y367" s="772"/>
      <c r="Z367" s="69"/>
    </row>
    <row r="368" spans="1:26">
      <c r="A368" s="310">
        <f t="shared" si="241"/>
        <v>368</v>
      </c>
      <c r="B368" s="262"/>
      <c r="C368" s="726" t="s">
        <v>1337</v>
      </c>
      <c r="D368" s="153"/>
      <c r="E368" s="678">
        <v>1733750</v>
      </c>
      <c r="F368" s="629">
        <v>2500</v>
      </c>
      <c r="G368" s="629">
        <v>250</v>
      </c>
      <c r="H368" s="630">
        <v>100</v>
      </c>
      <c r="I368" s="594">
        <f t="shared" si="229"/>
        <v>624.15000000000009</v>
      </c>
      <c r="J368" s="595">
        <f t="shared" si="230"/>
        <v>57.2</v>
      </c>
      <c r="K368" s="600">
        <f t="shared" si="231"/>
        <v>400.5</v>
      </c>
      <c r="L368" s="601">
        <f t="shared" si="242"/>
        <v>1081.8500000000001</v>
      </c>
      <c r="M368" s="691">
        <f t="shared" si="233"/>
        <v>693.5</v>
      </c>
      <c r="N368" s="650">
        <f t="shared" si="243"/>
        <v>0</v>
      </c>
      <c r="O368" s="601">
        <f t="shared" si="244"/>
        <v>693.5</v>
      </c>
      <c r="P368" s="599">
        <f t="shared" si="245"/>
        <v>1775.3500000000001</v>
      </c>
      <c r="Q368" s="69"/>
      <c r="R368" s="69"/>
      <c r="S368" s="69"/>
      <c r="T368" s="903"/>
      <c r="U368" s="208" t="e">
        <f>#REF!*4</f>
        <v>#REF!</v>
      </c>
      <c r="V368" s="69"/>
      <c r="W368" s="69"/>
      <c r="Y368" s="772"/>
      <c r="Z368" s="69"/>
    </row>
    <row r="369" spans="1:26">
      <c r="A369" s="156">
        <f t="shared" si="206"/>
        <v>369</v>
      </c>
      <c r="B369" s="262"/>
      <c r="C369" s="726" t="s">
        <v>658</v>
      </c>
      <c r="D369" s="153"/>
      <c r="E369" s="678">
        <v>1880750</v>
      </c>
      <c r="F369" s="629">
        <v>2500</v>
      </c>
      <c r="G369" s="629">
        <v>250</v>
      </c>
      <c r="H369" s="630">
        <v>100</v>
      </c>
      <c r="I369" s="594">
        <f t="shared" si="229"/>
        <v>677.05000000000007</v>
      </c>
      <c r="J369" s="595">
        <f t="shared" si="230"/>
        <v>62.050000000000004</v>
      </c>
      <c r="K369" s="600">
        <f t="shared" si="231"/>
        <v>434.45000000000005</v>
      </c>
      <c r="L369" s="601">
        <f t="shared" si="237"/>
        <v>1173.5500000000002</v>
      </c>
      <c r="M369" s="691">
        <f t="shared" si="233"/>
        <v>752.30000000000007</v>
      </c>
      <c r="N369" s="650">
        <f t="shared" si="238"/>
        <v>0</v>
      </c>
      <c r="O369" s="601">
        <f t="shared" si="239"/>
        <v>752.30000000000007</v>
      </c>
      <c r="P369" s="599">
        <f t="shared" si="240"/>
        <v>1925.8500000000004</v>
      </c>
      <c r="Q369" s="69"/>
      <c r="R369" s="69"/>
      <c r="S369" s="69"/>
      <c r="T369" s="903"/>
      <c r="U369" s="208" t="e">
        <f>#REF!*4</f>
        <v>#REF!</v>
      </c>
      <c r="V369" s="69"/>
      <c r="W369" s="69"/>
      <c r="Y369" s="189"/>
      <c r="Z369" s="69"/>
    </row>
    <row r="370" spans="1:26">
      <c r="A370" s="156">
        <f t="shared" si="206"/>
        <v>370</v>
      </c>
      <c r="B370" s="262"/>
      <c r="C370" s="726" t="s">
        <v>659</v>
      </c>
      <c r="D370" s="153"/>
      <c r="E370" s="678">
        <v>2093000</v>
      </c>
      <c r="F370" s="629">
        <v>2500</v>
      </c>
      <c r="G370" s="629">
        <v>250</v>
      </c>
      <c r="H370" s="630">
        <v>100</v>
      </c>
      <c r="I370" s="594">
        <f t="shared" si="229"/>
        <v>753.5</v>
      </c>
      <c r="J370" s="595">
        <f t="shared" si="230"/>
        <v>69.05</v>
      </c>
      <c r="K370" s="600">
        <f t="shared" si="231"/>
        <v>483.5</v>
      </c>
      <c r="L370" s="601">
        <f t="shared" si="237"/>
        <v>1306.05</v>
      </c>
      <c r="M370" s="691">
        <f t="shared" si="233"/>
        <v>837.2</v>
      </c>
      <c r="N370" s="650">
        <f t="shared" si="238"/>
        <v>0</v>
      </c>
      <c r="O370" s="601">
        <f t="shared" si="239"/>
        <v>837.2</v>
      </c>
      <c r="P370" s="599">
        <f t="shared" si="240"/>
        <v>2143.25</v>
      </c>
      <c r="Q370" s="69"/>
      <c r="R370" s="69"/>
      <c r="S370" s="69"/>
      <c r="T370" s="903"/>
      <c r="U370" s="208">
        <v>145</v>
      </c>
      <c r="V370" s="69"/>
      <c r="W370" s="69"/>
      <c r="Y370" s="189"/>
      <c r="Z370" s="69"/>
    </row>
    <row r="371" spans="1:26">
      <c r="A371" s="156" t="str">
        <f t="shared" ref="A371:A407" si="246">IF(ISNUMBER(E371),ROW(),"")</f>
        <v/>
      </c>
      <c r="B371" s="261"/>
      <c r="C371" s="823"/>
      <c r="D371" s="170"/>
      <c r="E371" s="563"/>
      <c r="F371" s="692"/>
      <c r="G371" s="692"/>
      <c r="H371" s="692"/>
      <c r="I371" s="605"/>
      <c r="J371" s="606"/>
      <c r="K371" s="605"/>
      <c r="L371" s="607"/>
      <c r="M371" s="608"/>
      <c r="N371" s="608"/>
      <c r="O371" s="607"/>
      <c r="P371" s="609"/>
      <c r="U371" s="207"/>
      <c r="Y371" s="189"/>
      <c r="Z371" s="69"/>
    </row>
    <row r="372" spans="1:26">
      <c r="A372" s="156" t="str">
        <f t="shared" si="246"/>
        <v/>
      </c>
      <c r="B372" s="261"/>
      <c r="C372" s="725"/>
      <c r="D372" s="153"/>
      <c r="E372" s="557"/>
      <c r="F372" s="585"/>
      <c r="G372" s="585"/>
      <c r="H372" s="585"/>
      <c r="I372" s="585"/>
      <c r="J372" s="585"/>
      <c r="K372" s="585"/>
      <c r="L372" s="585"/>
      <c r="M372" s="175"/>
      <c r="N372" s="175"/>
      <c r="O372" s="175"/>
      <c r="P372" s="585"/>
      <c r="U372" s="201"/>
      <c r="Y372" s="189"/>
      <c r="Z372" s="69"/>
    </row>
    <row r="373" spans="1:26" ht="13.5" thickBot="1">
      <c r="A373" s="156" t="str">
        <f t="shared" si="246"/>
        <v/>
      </c>
      <c r="B373" s="266">
        <f>MAX($B$8:B372)+0.01</f>
        <v>10.02</v>
      </c>
      <c r="C373" s="819" t="s">
        <v>300</v>
      </c>
      <c r="D373" s="832"/>
      <c r="E373" s="713"/>
      <c r="F373" s="683"/>
      <c r="G373" s="683"/>
      <c r="H373" s="684"/>
      <c r="I373" s="684"/>
      <c r="J373" s="684"/>
      <c r="K373" s="684"/>
      <c r="L373" s="684"/>
      <c r="M373" s="685"/>
      <c r="N373" s="685"/>
      <c r="O373" s="685"/>
      <c r="P373" s="697" t="s">
        <v>301</v>
      </c>
      <c r="U373" s="204"/>
      <c r="Y373" s="189"/>
    </row>
    <row r="374" spans="1:26">
      <c r="A374" s="156" t="str">
        <f t="shared" si="246"/>
        <v/>
      </c>
      <c r="B374" s="261"/>
      <c r="C374" s="825"/>
      <c r="D374" s="826"/>
      <c r="E374" s="709"/>
      <c r="F374" s="687"/>
      <c r="G374" s="687"/>
      <c r="H374" s="589"/>
      <c r="I374" s="589"/>
      <c r="J374" s="589"/>
      <c r="K374" s="589"/>
      <c r="L374" s="589"/>
      <c r="M374" s="688"/>
      <c r="N374" s="688"/>
      <c r="O374" s="688"/>
      <c r="P374" s="689"/>
      <c r="Q374" s="69"/>
      <c r="R374" s="69"/>
      <c r="S374" s="69"/>
      <c r="T374" s="903"/>
      <c r="U374" s="205"/>
      <c r="Y374" s="189"/>
    </row>
    <row r="375" spans="1:26">
      <c r="A375" s="156" t="str">
        <f t="shared" si="246"/>
        <v/>
      </c>
      <c r="B375" s="261"/>
      <c r="C375" s="727" t="s">
        <v>285</v>
      </c>
      <c r="D375" s="153"/>
      <c r="E375" s="710"/>
      <c r="F375" s="690"/>
      <c r="G375" s="690"/>
      <c r="H375" s="585"/>
      <c r="I375" s="585"/>
      <c r="J375" s="585"/>
      <c r="K375" s="585"/>
      <c r="L375" s="585"/>
      <c r="M375" s="175"/>
      <c r="N375" s="175"/>
      <c r="O375" s="175"/>
      <c r="P375" s="586"/>
      <c r="Q375" s="69"/>
      <c r="R375" s="69"/>
      <c r="S375" s="69"/>
      <c r="T375" s="903"/>
      <c r="U375" s="205"/>
      <c r="Y375" s="189"/>
    </row>
    <row r="376" spans="1:26">
      <c r="A376" s="156">
        <f t="shared" si="246"/>
        <v>376</v>
      </c>
      <c r="B376" s="262"/>
      <c r="C376" s="726" t="s">
        <v>663</v>
      </c>
      <c r="D376" s="153"/>
      <c r="E376" s="678">
        <v>672750</v>
      </c>
      <c r="F376" s="629">
        <v>2500</v>
      </c>
      <c r="G376" s="629">
        <v>250</v>
      </c>
      <c r="H376" s="630">
        <v>100</v>
      </c>
      <c r="I376" s="594">
        <f>MROUND(E376*(1-$E$677/100)/F376,0.05)</f>
        <v>242.20000000000002</v>
      </c>
      <c r="J376" s="595">
        <f>MROUND($E376*(1+$E$677/100)/2*$E$682/100/$G376,0.05)</f>
        <v>22.200000000000003</v>
      </c>
      <c r="K376" s="600">
        <f>MROUND($E376*(1+$E$677/100)/2*$E$678/100/$G376,0.05)</f>
        <v>155.4</v>
      </c>
      <c r="L376" s="601">
        <f t="shared" ref="L376:L377" si="247">SUM(I376:K376)</f>
        <v>419.80000000000007</v>
      </c>
      <c r="M376" s="691">
        <f>MROUND($E376*$H376/100/$F376,0.05)</f>
        <v>269.10000000000002</v>
      </c>
      <c r="N376" s="650">
        <f t="shared" ref="N376:N377" si="248">MROUND(Y376*Z376,0.05)</f>
        <v>0</v>
      </c>
      <c r="O376" s="601">
        <f t="shared" ref="O376:O377" si="249">SUM(M376:N376)</f>
        <v>269.10000000000002</v>
      </c>
      <c r="P376" s="599">
        <f t="shared" ref="P376:P377" si="250">O376+L376</f>
        <v>688.90000000000009</v>
      </c>
      <c r="Q376" s="69"/>
      <c r="R376" s="69"/>
      <c r="S376" s="69"/>
      <c r="T376" s="903"/>
      <c r="U376" s="208" t="e">
        <f>5*#REF!</f>
        <v>#REF!</v>
      </c>
      <c r="V376" s="69"/>
      <c r="W376" s="69"/>
      <c r="Y376" s="189"/>
    </row>
    <row r="377" spans="1:26">
      <c r="A377" s="156">
        <f t="shared" si="246"/>
        <v>377</v>
      </c>
      <c r="B377" s="262"/>
      <c r="C377" s="726" t="s">
        <v>664</v>
      </c>
      <c r="D377" s="153"/>
      <c r="E377" s="678">
        <v>744500</v>
      </c>
      <c r="F377" s="629">
        <v>2500</v>
      </c>
      <c r="G377" s="629">
        <v>250</v>
      </c>
      <c r="H377" s="630">
        <v>100</v>
      </c>
      <c r="I377" s="594">
        <f>MROUND(E377*(1-$E$677/100)/F377,0.05)</f>
        <v>268</v>
      </c>
      <c r="J377" s="595">
        <f>MROUND($E377*(1+$E$677/100)/2*$E$682/100/$G377,0.05)</f>
        <v>24.55</v>
      </c>
      <c r="K377" s="600">
        <f>MROUND($E377*(1+$E$677/100)/2*$E$678/100/$G377,0.05)</f>
        <v>172</v>
      </c>
      <c r="L377" s="601">
        <f t="shared" si="247"/>
        <v>464.55</v>
      </c>
      <c r="M377" s="691">
        <f>MROUND($E377*$H377/100/$F377,0.05)</f>
        <v>297.8</v>
      </c>
      <c r="N377" s="650">
        <f t="shared" si="248"/>
        <v>0</v>
      </c>
      <c r="O377" s="601">
        <f t="shared" si="249"/>
        <v>297.8</v>
      </c>
      <c r="P377" s="599">
        <f t="shared" si="250"/>
        <v>762.35</v>
      </c>
      <c r="Q377" s="69"/>
      <c r="R377" s="69"/>
      <c r="S377" s="69"/>
      <c r="T377" s="903"/>
      <c r="U377" s="208" t="e">
        <f>5*#REF!</f>
        <v>#REF!</v>
      </c>
      <c r="V377" s="69"/>
      <c r="W377" s="69"/>
      <c r="Y377" s="189"/>
    </row>
    <row r="378" spans="1:26">
      <c r="A378" s="156" t="str">
        <f t="shared" si="246"/>
        <v/>
      </c>
      <c r="B378" s="261"/>
      <c r="C378" s="823"/>
      <c r="D378" s="170"/>
      <c r="E378" s="563"/>
      <c r="F378" s="692"/>
      <c r="G378" s="692"/>
      <c r="H378" s="692"/>
      <c r="I378" s="605"/>
      <c r="J378" s="606"/>
      <c r="K378" s="605"/>
      <c r="L378" s="607"/>
      <c r="M378" s="608"/>
      <c r="N378" s="608"/>
      <c r="O378" s="607"/>
      <c r="P378" s="609"/>
      <c r="U378" s="207"/>
      <c r="Y378" s="189"/>
    </row>
    <row r="379" spans="1:26">
      <c r="A379" s="156" t="str">
        <f t="shared" si="246"/>
        <v/>
      </c>
      <c r="B379" s="261"/>
      <c r="C379" s="725"/>
      <c r="D379" s="153"/>
      <c r="E379" s="557"/>
      <c r="F379" s="585"/>
      <c r="G379" s="585"/>
      <c r="H379" s="585"/>
      <c r="I379" s="585"/>
      <c r="J379" s="585"/>
      <c r="K379" s="585"/>
      <c r="L379" s="585"/>
      <c r="M379" s="175"/>
      <c r="N379" s="175"/>
      <c r="O379" s="175"/>
      <c r="P379" s="585"/>
      <c r="U379" s="201"/>
      <c r="Y379" s="189"/>
    </row>
    <row r="380" spans="1:26">
      <c r="A380" s="156" t="str">
        <f t="shared" si="246"/>
        <v/>
      </c>
      <c r="B380" s="261"/>
      <c r="C380" s="725"/>
      <c r="D380" s="153"/>
      <c r="E380" s="557"/>
      <c r="F380" s="585"/>
      <c r="G380" s="585"/>
      <c r="H380" s="585"/>
      <c r="I380" s="585"/>
      <c r="J380" s="585"/>
      <c r="K380" s="585"/>
      <c r="L380" s="585"/>
      <c r="M380" s="175"/>
      <c r="N380" s="175"/>
      <c r="O380" s="175"/>
      <c r="P380" s="585"/>
      <c r="U380" s="201"/>
      <c r="Y380" s="189"/>
    </row>
    <row r="381" spans="1:26" s="452" customFormat="1" ht="23.25" customHeight="1" thickBot="1">
      <c r="A381" s="31" t="str">
        <f t="shared" si="246"/>
        <v/>
      </c>
      <c r="B381" s="287">
        <f>ROUNDDOWN(MAX($B$8:B380),0)+1</f>
        <v>11</v>
      </c>
      <c r="C381" s="724" t="s">
        <v>289</v>
      </c>
      <c r="D381" s="301"/>
      <c r="E381" s="558"/>
      <c r="F381" s="297"/>
      <c r="G381" s="297"/>
      <c r="H381" s="297"/>
      <c r="I381" s="579"/>
      <c r="J381" s="579"/>
      <c r="K381" s="579"/>
      <c r="L381" s="579"/>
      <c r="M381" s="298"/>
      <c r="N381" s="298"/>
      <c r="O381" s="298"/>
      <c r="P381" s="299"/>
      <c r="Q381" s="158"/>
      <c r="R381" s="158"/>
      <c r="S381" s="158"/>
      <c r="T381" s="902"/>
      <c r="U381" s="305"/>
      <c r="V381" s="158"/>
      <c r="W381" s="158"/>
      <c r="X381" s="159"/>
      <c r="Y381" s="160"/>
      <c r="Z381" s="161"/>
    </row>
    <row r="382" spans="1:26">
      <c r="A382" s="156" t="str">
        <f t="shared" si="246"/>
        <v/>
      </c>
      <c r="B382" s="263"/>
      <c r="C382" s="828"/>
      <c r="D382" s="829"/>
      <c r="E382" s="564"/>
      <c r="F382" s="174"/>
      <c r="G382" s="174"/>
      <c r="H382" s="174"/>
      <c r="I382" s="174"/>
      <c r="J382" s="174"/>
      <c r="K382" s="174"/>
      <c r="L382" s="174"/>
      <c r="M382" s="174"/>
      <c r="N382" s="174"/>
      <c r="O382" s="174"/>
      <c r="P382" s="174"/>
      <c r="Q382" s="155"/>
      <c r="R382" s="183"/>
      <c r="S382" s="310"/>
      <c r="T382" s="904"/>
      <c r="U382" s="203"/>
      <c r="V382" s="183"/>
      <c r="W382" s="183"/>
      <c r="Y382" s="189"/>
    </row>
    <row r="383" spans="1:26" ht="13.5" thickBot="1">
      <c r="A383" s="156" t="str">
        <f t="shared" si="246"/>
        <v/>
      </c>
      <c r="B383" s="266">
        <f>MAX($B$8:B382)+0.01</f>
        <v>11.01</v>
      </c>
      <c r="C383" s="819" t="s">
        <v>36</v>
      </c>
      <c r="D383" s="832"/>
      <c r="E383" s="713"/>
      <c r="F383" s="683"/>
      <c r="G383" s="683"/>
      <c r="H383" s="684"/>
      <c r="I383" s="684"/>
      <c r="J383" s="684"/>
      <c r="K383" s="684"/>
      <c r="L383" s="684"/>
      <c r="M383" s="685"/>
      <c r="N383" s="685"/>
      <c r="O383" s="685"/>
      <c r="P383" s="697" t="s">
        <v>920</v>
      </c>
      <c r="U383" s="204"/>
      <c r="Y383" s="189"/>
    </row>
    <row r="384" spans="1:26">
      <c r="A384" s="156" t="str">
        <f t="shared" si="246"/>
        <v/>
      </c>
      <c r="B384" s="262"/>
      <c r="C384" s="825"/>
      <c r="D384" s="826"/>
      <c r="E384" s="709"/>
      <c r="F384" s="687"/>
      <c r="G384" s="687"/>
      <c r="H384" s="589"/>
      <c r="I384" s="589"/>
      <c r="J384" s="589"/>
      <c r="K384" s="589"/>
      <c r="L384" s="589"/>
      <c r="M384" s="688"/>
      <c r="N384" s="688"/>
      <c r="O384" s="688"/>
      <c r="P384" s="689"/>
      <c r="Q384" s="69"/>
      <c r="R384" s="69"/>
      <c r="S384" s="69"/>
      <c r="T384" s="903"/>
      <c r="U384" s="205"/>
      <c r="V384" s="69"/>
      <c r="W384" s="69"/>
      <c r="Y384" s="189"/>
    </row>
    <row r="385" spans="1:26">
      <c r="A385" s="310"/>
      <c r="B385" s="262"/>
      <c r="C385" s="726" t="s">
        <v>888</v>
      </c>
      <c r="D385" s="153"/>
      <c r="E385" s="710"/>
      <c r="F385" s="690"/>
      <c r="G385" s="690"/>
      <c r="H385" s="838"/>
      <c r="I385" s="585"/>
      <c r="J385" s="585"/>
      <c r="K385" s="585"/>
      <c r="L385" s="585"/>
      <c r="M385" s="175"/>
      <c r="N385" s="175"/>
      <c r="O385" s="175"/>
      <c r="P385" s="586"/>
      <c r="Q385" s="69"/>
      <c r="R385" s="69"/>
      <c r="S385" s="69"/>
      <c r="T385" s="903"/>
      <c r="U385" s="205"/>
      <c r="V385" s="69"/>
      <c r="W385" s="69"/>
      <c r="Y385" s="456"/>
    </row>
    <row r="386" spans="1:26">
      <c r="A386" s="310"/>
      <c r="B386" s="262"/>
      <c r="C386" s="820"/>
      <c r="D386" s="153"/>
      <c r="E386" s="710"/>
      <c r="F386" s="690"/>
      <c r="G386" s="690"/>
      <c r="H386" s="838"/>
      <c r="I386" s="585"/>
      <c r="J386" s="585"/>
      <c r="K386" s="585"/>
      <c r="L386" s="585"/>
      <c r="M386" s="175"/>
      <c r="N386" s="175"/>
      <c r="O386" s="175"/>
      <c r="P386" s="586"/>
      <c r="Q386" s="69"/>
      <c r="R386" s="69"/>
      <c r="S386" s="69"/>
      <c r="T386" s="903"/>
      <c r="U386" s="205"/>
      <c r="V386" s="69"/>
      <c r="W386" s="69"/>
      <c r="Y386" s="456"/>
    </row>
    <row r="387" spans="1:26">
      <c r="A387" s="156">
        <f t="shared" si="246"/>
        <v>387</v>
      </c>
      <c r="C387" s="821" t="s">
        <v>782</v>
      </c>
      <c r="D387" s="167"/>
      <c r="E387" s="678">
        <v>215750</v>
      </c>
      <c r="F387" s="629">
        <v>2500</v>
      </c>
      <c r="G387" s="629">
        <v>250</v>
      </c>
      <c r="H387" s="630">
        <v>80</v>
      </c>
      <c r="I387" s="594">
        <f t="shared" ref="I387:I392" si="251">MROUND(E387*(1-$E$677/100)/F387,0.05)</f>
        <v>77.650000000000006</v>
      </c>
      <c r="J387" s="595">
        <f t="shared" ref="J387:J392" si="252">MROUND($E387*(1+$E$677/100)/2*$E$682/100/$G387,0.05)</f>
        <v>7.1000000000000005</v>
      </c>
      <c r="K387" s="600">
        <f t="shared" ref="K387:K392" si="253">MROUND($E387*(1+$E$677/100)/2*$E$678/100/$G387,0.05)</f>
        <v>49.85</v>
      </c>
      <c r="L387" s="601">
        <f t="shared" ref="L387:L392" si="254">SUM(I387:K387)</f>
        <v>134.6</v>
      </c>
      <c r="M387" s="691">
        <f t="shared" ref="M387:M392" si="255">MROUND($E387*$H387/100/$F387,0.05)</f>
        <v>69.05</v>
      </c>
      <c r="N387" s="650">
        <f t="shared" ref="N387:N392" si="256">MROUND(Y387*Z387,0.05)</f>
        <v>0</v>
      </c>
      <c r="O387" s="601">
        <f t="shared" ref="O387:O392" si="257">SUM(M387:N387)</f>
        <v>69.05</v>
      </c>
      <c r="P387" s="599">
        <f t="shared" ref="P387:P392" si="258">O387+L387</f>
        <v>203.64999999999998</v>
      </c>
      <c r="U387" s="208" t="e">
        <f>#REF!*12</f>
        <v>#REF!</v>
      </c>
      <c r="Y387" s="189"/>
    </row>
    <row r="388" spans="1:26">
      <c r="A388" s="156">
        <f t="shared" si="246"/>
        <v>388</v>
      </c>
      <c r="C388" s="821" t="s">
        <v>787</v>
      </c>
      <c r="D388" s="167"/>
      <c r="E388" s="678">
        <v>249250</v>
      </c>
      <c r="F388" s="629">
        <v>2500</v>
      </c>
      <c r="G388" s="629">
        <v>250</v>
      </c>
      <c r="H388" s="630">
        <v>80</v>
      </c>
      <c r="I388" s="594">
        <f t="shared" si="251"/>
        <v>89.75</v>
      </c>
      <c r="J388" s="595">
        <f t="shared" si="252"/>
        <v>8.25</v>
      </c>
      <c r="K388" s="600">
        <f t="shared" si="253"/>
        <v>57.6</v>
      </c>
      <c r="L388" s="601">
        <f t="shared" si="254"/>
        <v>155.6</v>
      </c>
      <c r="M388" s="691">
        <f t="shared" si="255"/>
        <v>79.75</v>
      </c>
      <c r="N388" s="650">
        <f t="shared" si="256"/>
        <v>0</v>
      </c>
      <c r="O388" s="601">
        <f t="shared" si="257"/>
        <v>79.75</v>
      </c>
      <c r="P388" s="599">
        <f t="shared" si="258"/>
        <v>235.35</v>
      </c>
      <c r="U388" s="208" t="e">
        <f>#REF!*12</f>
        <v>#REF!</v>
      </c>
      <c r="Y388" s="189"/>
    </row>
    <row r="389" spans="1:26">
      <c r="A389" s="156">
        <f t="shared" si="246"/>
        <v>389</v>
      </c>
      <c r="C389" s="821" t="s">
        <v>783</v>
      </c>
      <c r="D389" s="167"/>
      <c r="E389" s="678">
        <v>273250</v>
      </c>
      <c r="F389" s="629">
        <v>2500</v>
      </c>
      <c r="G389" s="629">
        <v>250</v>
      </c>
      <c r="H389" s="630">
        <v>80</v>
      </c>
      <c r="I389" s="594">
        <f t="shared" si="251"/>
        <v>98.350000000000009</v>
      </c>
      <c r="J389" s="595">
        <f t="shared" si="252"/>
        <v>9</v>
      </c>
      <c r="K389" s="600">
        <f t="shared" si="253"/>
        <v>63.1</v>
      </c>
      <c r="L389" s="601">
        <f t="shared" si="254"/>
        <v>170.45000000000002</v>
      </c>
      <c r="M389" s="691">
        <f t="shared" si="255"/>
        <v>87.45</v>
      </c>
      <c r="N389" s="650">
        <f t="shared" si="256"/>
        <v>0</v>
      </c>
      <c r="O389" s="601">
        <f t="shared" si="257"/>
        <v>87.45</v>
      </c>
      <c r="P389" s="599">
        <f t="shared" si="258"/>
        <v>257.90000000000003</v>
      </c>
      <c r="U389" s="208" t="e">
        <f>#REF!*12</f>
        <v>#REF!</v>
      </c>
      <c r="Y389" s="189"/>
      <c r="Z389" s="69"/>
    </row>
    <row r="390" spans="1:26">
      <c r="A390" s="156">
        <f t="shared" si="246"/>
        <v>390</v>
      </c>
      <c r="C390" s="821" t="s">
        <v>784</v>
      </c>
      <c r="D390" s="167"/>
      <c r="E390" s="678">
        <v>302000</v>
      </c>
      <c r="F390" s="629">
        <v>2500</v>
      </c>
      <c r="G390" s="629">
        <v>250</v>
      </c>
      <c r="H390" s="630">
        <v>80</v>
      </c>
      <c r="I390" s="594">
        <f t="shared" si="251"/>
        <v>108.7</v>
      </c>
      <c r="J390" s="595">
        <f t="shared" si="252"/>
        <v>9.9500000000000011</v>
      </c>
      <c r="K390" s="600">
        <f t="shared" si="253"/>
        <v>69.75</v>
      </c>
      <c r="L390" s="601">
        <f t="shared" si="254"/>
        <v>188.4</v>
      </c>
      <c r="M390" s="691">
        <f t="shared" si="255"/>
        <v>96.65</v>
      </c>
      <c r="N390" s="650">
        <f t="shared" si="256"/>
        <v>0</v>
      </c>
      <c r="O390" s="601">
        <f t="shared" si="257"/>
        <v>96.65</v>
      </c>
      <c r="P390" s="599">
        <f t="shared" si="258"/>
        <v>285.05</v>
      </c>
      <c r="U390" s="208" t="e">
        <f>#REF!*12</f>
        <v>#REF!</v>
      </c>
      <c r="Y390" s="189"/>
      <c r="Z390" s="69"/>
    </row>
    <row r="391" spans="1:26">
      <c r="A391" s="156">
        <f t="shared" si="246"/>
        <v>391</v>
      </c>
      <c r="C391" s="821" t="s">
        <v>785</v>
      </c>
      <c r="D391" s="167"/>
      <c r="E391" s="678">
        <v>330750</v>
      </c>
      <c r="F391" s="629">
        <v>2500</v>
      </c>
      <c r="G391" s="629">
        <v>250</v>
      </c>
      <c r="H391" s="630">
        <v>80</v>
      </c>
      <c r="I391" s="594">
        <f t="shared" si="251"/>
        <v>119.05000000000001</v>
      </c>
      <c r="J391" s="595">
        <f t="shared" si="252"/>
        <v>10.9</v>
      </c>
      <c r="K391" s="600">
        <f t="shared" si="253"/>
        <v>76.400000000000006</v>
      </c>
      <c r="L391" s="601">
        <f t="shared" si="254"/>
        <v>206.35000000000002</v>
      </c>
      <c r="M391" s="691">
        <f t="shared" si="255"/>
        <v>105.85000000000001</v>
      </c>
      <c r="N391" s="650">
        <f t="shared" si="256"/>
        <v>0</v>
      </c>
      <c r="O391" s="601">
        <f t="shared" si="257"/>
        <v>105.85000000000001</v>
      </c>
      <c r="P391" s="599">
        <f t="shared" si="258"/>
        <v>312.20000000000005</v>
      </c>
      <c r="U391" s="208" t="e">
        <f>#REF!*12</f>
        <v>#REF!</v>
      </c>
      <c r="Y391" s="189"/>
      <c r="Z391" s="69"/>
    </row>
    <row r="392" spans="1:26">
      <c r="A392" s="156">
        <f t="shared" si="246"/>
        <v>392</v>
      </c>
      <c r="C392" s="821" t="s">
        <v>786</v>
      </c>
      <c r="D392" s="167"/>
      <c r="E392" s="678">
        <v>359500</v>
      </c>
      <c r="F392" s="629">
        <v>2500</v>
      </c>
      <c r="G392" s="629">
        <v>250</v>
      </c>
      <c r="H392" s="630">
        <v>80</v>
      </c>
      <c r="I392" s="594">
        <f t="shared" si="251"/>
        <v>129.4</v>
      </c>
      <c r="J392" s="595">
        <f t="shared" si="252"/>
        <v>11.850000000000001</v>
      </c>
      <c r="K392" s="600">
        <f t="shared" si="253"/>
        <v>83.050000000000011</v>
      </c>
      <c r="L392" s="601">
        <f t="shared" si="254"/>
        <v>224.3</v>
      </c>
      <c r="M392" s="691">
        <f t="shared" si="255"/>
        <v>115.05000000000001</v>
      </c>
      <c r="N392" s="650">
        <f t="shared" si="256"/>
        <v>0</v>
      </c>
      <c r="O392" s="601">
        <f t="shared" si="257"/>
        <v>115.05000000000001</v>
      </c>
      <c r="P392" s="599">
        <f t="shared" si="258"/>
        <v>339.35</v>
      </c>
      <c r="U392" s="208" t="e">
        <f>#REF!*12</f>
        <v>#REF!</v>
      </c>
      <c r="Y392" s="189"/>
      <c r="Z392" s="69"/>
    </row>
    <row r="393" spans="1:26">
      <c r="A393" s="156" t="str">
        <f t="shared" si="246"/>
        <v/>
      </c>
      <c r="C393" s="823"/>
      <c r="D393" s="170"/>
      <c r="E393" s="563"/>
      <c r="F393" s="692"/>
      <c r="G393" s="692"/>
      <c r="H393" s="692"/>
      <c r="I393" s="605"/>
      <c r="J393" s="606"/>
      <c r="K393" s="605"/>
      <c r="L393" s="607"/>
      <c r="M393" s="608"/>
      <c r="N393" s="608"/>
      <c r="O393" s="607"/>
      <c r="P393" s="609"/>
      <c r="U393" s="207"/>
      <c r="Y393" s="189"/>
      <c r="Z393" s="69"/>
    </row>
    <row r="394" spans="1:26">
      <c r="A394" s="156" t="str">
        <f t="shared" si="246"/>
        <v/>
      </c>
      <c r="B394" s="263"/>
      <c r="C394" s="828"/>
      <c r="D394" s="829"/>
      <c r="E394" s="564"/>
      <c r="F394" s="174"/>
      <c r="G394" s="174"/>
      <c r="H394" s="174"/>
      <c r="I394" s="174"/>
      <c r="J394" s="174"/>
      <c r="K394" s="174"/>
      <c r="L394" s="174"/>
      <c r="M394" s="174"/>
      <c r="N394" s="174"/>
      <c r="O394" s="174"/>
      <c r="P394" s="174"/>
      <c r="Q394" s="155"/>
      <c r="R394" s="183"/>
      <c r="S394" s="310"/>
      <c r="T394" s="904"/>
      <c r="U394" s="203"/>
      <c r="V394" s="183"/>
      <c r="W394" s="183"/>
      <c r="Y394" s="189"/>
      <c r="Z394" s="69"/>
    </row>
    <row r="395" spans="1:26" ht="13.5" thickBot="1">
      <c r="A395" s="156" t="str">
        <f t="shared" si="246"/>
        <v/>
      </c>
      <c r="B395" s="266">
        <f>MAX($B$8:B394)+0.01</f>
        <v>11.02</v>
      </c>
      <c r="C395" s="824" t="s">
        <v>283</v>
      </c>
      <c r="D395" s="95"/>
      <c r="E395" s="713"/>
      <c r="F395" s="683"/>
      <c r="G395" s="683"/>
      <c r="H395" s="684"/>
      <c r="I395" s="684"/>
      <c r="J395" s="684"/>
      <c r="K395" s="684"/>
      <c r="L395" s="684"/>
      <c r="M395" s="685"/>
      <c r="N395" s="685"/>
      <c r="O395" s="685"/>
      <c r="P395" s="697" t="s">
        <v>282</v>
      </c>
      <c r="U395" s="204"/>
      <c r="Y395" s="189"/>
      <c r="Z395" s="69"/>
    </row>
    <row r="396" spans="1:26">
      <c r="A396" s="156" t="str">
        <f t="shared" si="246"/>
        <v/>
      </c>
      <c r="B396" s="262"/>
      <c r="C396" s="825"/>
      <c r="D396" s="826"/>
      <c r="E396" s="709"/>
      <c r="F396" s="687"/>
      <c r="G396" s="687"/>
      <c r="H396" s="589"/>
      <c r="I396" s="589"/>
      <c r="J396" s="589"/>
      <c r="K396" s="589"/>
      <c r="L396" s="589"/>
      <c r="M396" s="688"/>
      <c r="N396" s="688"/>
      <c r="O396" s="688"/>
      <c r="P396" s="689"/>
      <c r="Q396" s="69"/>
      <c r="R396" s="69"/>
      <c r="S396" s="69"/>
      <c r="T396" s="903"/>
      <c r="U396" s="205"/>
      <c r="V396" s="69"/>
      <c r="W396" s="69"/>
      <c r="Y396" s="189"/>
      <c r="Z396" s="69"/>
    </row>
    <row r="397" spans="1:26">
      <c r="A397" s="156" t="str">
        <f t="shared" si="246"/>
        <v/>
      </c>
      <c r="B397" s="262"/>
      <c r="C397" s="727" t="s">
        <v>284</v>
      </c>
      <c r="D397" s="153"/>
      <c r="E397" s="710"/>
      <c r="F397" s="690"/>
      <c r="G397" s="690"/>
      <c r="H397" s="585"/>
      <c r="I397" s="585"/>
      <c r="J397" s="585"/>
      <c r="K397" s="585"/>
      <c r="L397" s="585"/>
      <c r="M397" s="175"/>
      <c r="N397" s="175"/>
      <c r="O397" s="175"/>
      <c r="P397" s="586"/>
      <c r="Q397" s="69"/>
      <c r="R397" s="69"/>
      <c r="S397" s="69"/>
      <c r="T397" s="903"/>
      <c r="U397" s="205"/>
      <c r="V397" s="69"/>
      <c r="W397" s="69"/>
      <c r="Y397" s="189"/>
      <c r="Z397" s="69"/>
    </row>
    <row r="398" spans="1:26">
      <c r="A398" s="156">
        <f t="shared" si="246"/>
        <v>398</v>
      </c>
      <c r="B398" s="262"/>
      <c r="C398" s="726" t="s">
        <v>834</v>
      </c>
      <c r="D398" s="153"/>
      <c r="E398" s="678">
        <v>111000</v>
      </c>
      <c r="F398" s="629">
        <v>2000</v>
      </c>
      <c r="G398" s="629">
        <v>200</v>
      </c>
      <c r="H398" s="630">
        <v>80</v>
      </c>
      <c r="I398" s="594">
        <f>MROUND(E398*(1-$E$677/100)/F398,0.05)</f>
        <v>49.95</v>
      </c>
      <c r="J398" s="595">
        <f>MROUND($E398*(1+$E$677/100)/2*$E$682/100/$G398,0.05)</f>
        <v>4.6000000000000005</v>
      </c>
      <c r="K398" s="600">
        <f>MROUND($E398*(1+$E$677/100)/2*$E$678/100/$G398,0.05)</f>
        <v>32.050000000000004</v>
      </c>
      <c r="L398" s="601">
        <f t="shared" ref="L398:L402" si="259">SUM(I398:K398)</f>
        <v>86.600000000000009</v>
      </c>
      <c r="M398" s="691">
        <f>MROUND($E398*$H398/100/$F398,0.05)</f>
        <v>44.400000000000006</v>
      </c>
      <c r="N398" s="650">
        <f t="shared" ref="N398:N402" si="260">MROUND(Y398*Z398,0.05)</f>
        <v>0</v>
      </c>
      <c r="O398" s="601">
        <f t="shared" ref="O398:O402" si="261">SUM(M398:N398)</f>
        <v>44.400000000000006</v>
      </c>
      <c r="P398" s="599">
        <f t="shared" ref="P398:P402" si="262">O398+L398</f>
        <v>131</v>
      </c>
      <c r="Q398" s="69"/>
      <c r="R398" s="69"/>
      <c r="S398" s="69"/>
      <c r="T398" s="903"/>
      <c r="U398" s="208" t="e">
        <f>25*#REF!</f>
        <v>#REF!</v>
      </c>
      <c r="V398" s="69"/>
      <c r="W398" s="69"/>
      <c r="Y398" s="189"/>
      <c r="Z398" s="69"/>
    </row>
    <row r="399" spans="1:26">
      <c r="A399" s="156">
        <f t="shared" si="246"/>
        <v>399</v>
      </c>
      <c r="B399" s="262"/>
      <c r="C399" s="726" t="s">
        <v>835</v>
      </c>
      <c r="D399" s="153"/>
      <c r="E399" s="678">
        <v>124500</v>
      </c>
      <c r="F399" s="629">
        <v>2000</v>
      </c>
      <c r="G399" s="629">
        <v>200</v>
      </c>
      <c r="H399" s="630">
        <v>80</v>
      </c>
      <c r="I399" s="594">
        <f>MROUND(E399*(1-$E$677/100)/F399,0.05)</f>
        <v>56.050000000000004</v>
      </c>
      <c r="J399" s="595">
        <f>MROUND($E399*(1+$E$677/100)/2*$E$682/100/$G399,0.05)</f>
        <v>5.15</v>
      </c>
      <c r="K399" s="600">
        <f>MROUND($E399*(1+$E$677/100)/2*$E$678/100/$G399,0.05)</f>
        <v>35.950000000000003</v>
      </c>
      <c r="L399" s="601">
        <f t="shared" si="259"/>
        <v>97.15</v>
      </c>
      <c r="M399" s="691">
        <f>MROUND($E399*$H399/100/$F399,0.05)</f>
        <v>49.800000000000004</v>
      </c>
      <c r="N399" s="650">
        <f t="shared" si="260"/>
        <v>0</v>
      </c>
      <c r="O399" s="601">
        <f t="shared" si="261"/>
        <v>49.800000000000004</v>
      </c>
      <c r="P399" s="599">
        <f t="shared" si="262"/>
        <v>146.95000000000002</v>
      </c>
      <c r="Q399" s="69"/>
      <c r="R399" s="69"/>
      <c r="S399" s="69"/>
      <c r="T399" s="903"/>
      <c r="U399" s="208" t="e">
        <f>25*#REF!</f>
        <v>#REF!</v>
      </c>
      <c r="V399" s="69"/>
      <c r="W399" s="69"/>
      <c r="Y399" s="189"/>
      <c r="Z399" s="69"/>
    </row>
    <row r="400" spans="1:26">
      <c r="A400" s="156">
        <f t="shared" si="246"/>
        <v>400</v>
      </c>
      <c r="B400" s="262"/>
      <c r="C400" s="726" t="s">
        <v>836</v>
      </c>
      <c r="D400" s="153"/>
      <c r="E400" s="678">
        <v>140750</v>
      </c>
      <c r="F400" s="629">
        <v>2000</v>
      </c>
      <c r="G400" s="629">
        <v>200</v>
      </c>
      <c r="H400" s="630">
        <v>80</v>
      </c>
      <c r="I400" s="594">
        <f>MROUND(E400*(1-$E$677/100)/F400,0.05)</f>
        <v>63.35</v>
      </c>
      <c r="J400" s="595">
        <f>MROUND($E400*(1+$E$677/100)/2*$E$682/100/$G400,0.05)</f>
        <v>5.8000000000000007</v>
      </c>
      <c r="K400" s="600">
        <f>MROUND($E400*(1+$E$677/100)/2*$E$678/100/$G400,0.05)</f>
        <v>40.650000000000006</v>
      </c>
      <c r="L400" s="601">
        <f t="shared" si="259"/>
        <v>109.80000000000001</v>
      </c>
      <c r="M400" s="691">
        <f>MROUND($E400*$H400/100/$F400,0.05)</f>
        <v>56.300000000000004</v>
      </c>
      <c r="N400" s="650">
        <f t="shared" si="260"/>
        <v>0</v>
      </c>
      <c r="O400" s="601">
        <f t="shared" si="261"/>
        <v>56.300000000000004</v>
      </c>
      <c r="P400" s="599">
        <f t="shared" si="262"/>
        <v>166.10000000000002</v>
      </c>
      <c r="Q400" s="69"/>
      <c r="R400" s="69"/>
      <c r="S400" s="69"/>
      <c r="T400" s="903"/>
      <c r="U400" s="208" t="e">
        <f>25*#REF!</f>
        <v>#REF!</v>
      </c>
      <c r="V400" s="69"/>
      <c r="W400" s="69"/>
      <c r="Y400" s="189"/>
      <c r="Z400" s="69"/>
    </row>
    <row r="401" spans="1:26">
      <c r="A401" s="156">
        <f t="shared" si="246"/>
        <v>401</v>
      </c>
      <c r="B401" s="262"/>
      <c r="C401" s="726" t="s">
        <v>837</v>
      </c>
      <c r="D401" s="153"/>
      <c r="E401" s="678">
        <v>188000</v>
      </c>
      <c r="F401" s="629">
        <v>2000</v>
      </c>
      <c r="G401" s="629">
        <v>200</v>
      </c>
      <c r="H401" s="630">
        <v>80</v>
      </c>
      <c r="I401" s="594">
        <f>MROUND(E401*(1-$E$677/100)/F401,0.05)</f>
        <v>84.600000000000009</v>
      </c>
      <c r="J401" s="595">
        <f>MROUND($E401*(1+$E$677/100)/2*$E$682/100/$G401,0.05)</f>
        <v>7.75</v>
      </c>
      <c r="K401" s="600">
        <f>MROUND($E401*(1+$E$677/100)/2*$E$678/100/$G401,0.05)</f>
        <v>54.300000000000004</v>
      </c>
      <c r="L401" s="601">
        <f t="shared" si="259"/>
        <v>146.65</v>
      </c>
      <c r="M401" s="691">
        <f>MROUND($E401*$H401/100/$F401,0.05)</f>
        <v>75.2</v>
      </c>
      <c r="N401" s="650">
        <f t="shared" si="260"/>
        <v>0</v>
      </c>
      <c r="O401" s="601">
        <f t="shared" si="261"/>
        <v>75.2</v>
      </c>
      <c r="P401" s="599">
        <f t="shared" si="262"/>
        <v>221.85000000000002</v>
      </c>
      <c r="Q401" s="69"/>
      <c r="R401" s="69"/>
      <c r="S401" s="69"/>
      <c r="T401" s="903"/>
      <c r="U401" s="208" t="e">
        <f>25*#REF!</f>
        <v>#REF!</v>
      </c>
      <c r="V401" s="69"/>
      <c r="W401" s="69"/>
      <c r="Y401" s="189"/>
      <c r="Z401" s="69"/>
    </row>
    <row r="402" spans="1:26">
      <c r="A402" s="156">
        <f t="shared" si="246"/>
        <v>402</v>
      </c>
      <c r="B402" s="262"/>
      <c r="C402" s="726" t="s">
        <v>838</v>
      </c>
      <c r="D402" s="153"/>
      <c r="E402" s="678">
        <v>210500</v>
      </c>
      <c r="F402" s="629">
        <v>2000</v>
      </c>
      <c r="G402" s="629">
        <v>200</v>
      </c>
      <c r="H402" s="630">
        <v>80</v>
      </c>
      <c r="I402" s="594">
        <f>MROUND(E402*(1-$E$677/100)/F402,0.05)</f>
        <v>94.7</v>
      </c>
      <c r="J402" s="595">
        <f>MROUND($E402*(1+$E$677/100)/2*$E$682/100/$G402,0.05)</f>
        <v>8.7000000000000011</v>
      </c>
      <c r="K402" s="600">
        <f>MROUND($E402*(1+$E$677/100)/2*$E$678/100/$G402,0.05)</f>
        <v>60.800000000000004</v>
      </c>
      <c r="L402" s="601">
        <f t="shared" si="259"/>
        <v>164.20000000000002</v>
      </c>
      <c r="M402" s="691">
        <f>MROUND($E402*$H402/100/$F402,0.05)</f>
        <v>84.2</v>
      </c>
      <c r="N402" s="650">
        <f t="shared" si="260"/>
        <v>0</v>
      </c>
      <c r="O402" s="601">
        <f t="shared" si="261"/>
        <v>84.2</v>
      </c>
      <c r="P402" s="599">
        <f t="shared" si="262"/>
        <v>248.40000000000003</v>
      </c>
      <c r="Q402" s="69"/>
      <c r="R402" s="69"/>
      <c r="S402" s="69"/>
      <c r="T402" s="903"/>
      <c r="U402" s="208" t="e">
        <f>25*#REF!</f>
        <v>#REF!</v>
      </c>
      <c r="V402" s="69"/>
      <c r="W402" s="69"/>
      <c r="Y402" s="189"/>
      <c r="Z402" s="69"/>
    </row>
    <row r="403" spans="1:26">
      <c r="A403" s="156" t="str">
        <f t="shared" si="246"/>
        <v/>
      </c>
      <c r="B403" s="262"/>
      <c r="C403" s="726"/>
      <c r="D403" s="153"/>
      <c r="E403" s="790"/>
      <c r="F403" s="629"/>
      <c r="G403" s="629"/>
      <c r="H403" s="629"/>
      <c r="I403" s="594"/>
      <c r="J403" s="595"/>
      <c r="K403" s="594"/>
      <c r="L403" s="596"/>
      <c r="M403" s="598"/>
      <c r="N403" s="598"/>
      <c r="O403" s="596"/>
      <c r="P403" s="599"/>
      <c r="Q403" s="69"/>
      <c r="R403" s="69"/>
      <c r="S403" s="69"/>
      <c r="T403" s="903"/>
      <c r="U403" s="205"/>
      <c r="V403" s="69"/>
      <c r="W403" s="69"/>
      <c r="Y403" s="189"/>
      <c r="Z403" s="69"/>
    </row>
    <row r="404" spans="1:26">
      <c r="A404" s="156" t="str">
        <f t="shared" si="246"/>
        <v/>
      </c>
      <c r="B404" s="262"/>
      <c r="C404" s="727" t="s">
        <v>630</v>
      </c>
      <c r="D404" s="153"/>
      <c r="E404" s="790"/>
      <c r="F404" s="690"/>
      <c r="G404" s="690"/>
      <c r="H404" s="585"/>
      <c r="I404" s="585"/>
      <c r="J404" s="585"/>
      <c r="K404" s="585"/>
      <c r="L404" s="585"/>
      <c r="M404" s="175"/>
      <c r="N404" s="175"/>
      <c r="O404" s="175"/>
      <c r="P404" s="586"/>
      <c r="Q404" s="69"/>
      <c r="R404" s="69"/>
      <c r="S404" s="69"/>
      <c r="T404" s="903"/>
      <c r="U404" s="205"/>
      <c r="V404" s="69"/>
      <c r="W404" s="69"/>
      <c r="Y404" s="189"/>
      <c r="Z404" s="69"/>
    </row>
    <row r="405" spans="1:26">
      <c r="A405" s="156">
        <f t="shared" si="246"/>
        <v>405</v>
      </c>
      <c r="B405" s="262"/>
      <c r="C405" s="726" t="s">
        <v>839</v>
      </c>
      <c r="D405" s="153"/>
      <c r="E405" s="678">
        <v>250000</v>
      </c>
      <c r="F405" s="629">
        <v>2000</v>
      </c>
      <c r="G405" s="629">
        <v>200</v>
      </c>
      <c r="H405" s="630">
        <v>80</v>
      </c>
      <c r="I405" s="594">
        <f>MROUND(E405*(1-$E$677/100)/F405,0.05)</f>
        <v>112.5</v>
      </c>
      <c r="J405" s="595">
        <f>MROUND($E405*(1+$E$677/100)/2*$E$682/100/$G405,0.05)</f>
        <v>10.3</v>
      </c>
      <c r="K405" s="600">
        <f>MROUND($E405*(1+$E$677/100)/2*$E$678/100/$G405,0.05)</f>
        <v>72.2</v>
      </c>
      <c r="L405" s="601">
        <f t="shared" ref="L405:L407" si="263">SUM(I405:K405)</f>
        <v>195</v>
      </c>
      <c r="M405" s="691">
        <f>MROUND($E405*$H405/100/$F405,0.05)</f>
        <v>100</v>
      </c>
      <c r="N405" s="650">
        <f t="shared" ref="N405:N407" si="264">MROUND(Y405*Z405,0.05)</f>
        <v>0</v>
      </c>
      <c r="O405" s="601">
        <f t="shared" ref="O405:O407" si="265">SUM(M405:N405)</f>
        <v>100</v>
      </c>
      <c r="P405" s="599">
        <f t="shared" ref="P405:P407" si="266">O405+L405</f>
        <v>295</v>
      </c>
      <c r="Q405" s="69"/>
      <c r="R405" s="69"/>
      <c r="S405" s="69"/>
      <c r="T405" s="903"/>
      <c r="U405" s="208" t="e">
        <f>25*#REF!</f>
        <v>#REF!</v>
      </c>
      <c r="V405" s="69"/>
      <c r="W405" s="69"/>
      <c r="Y405" s="189"/>
      <c r="Z405" s="69"/>
    </row>
    <row r="406" spans="1:26">
      <c r="A406" s="156">
        <f t="shared" si="246"/>
        <v>406</v>
      </c>
      <c r="B406" s="262"/>
      <c r="C406" s="726" t="s">
        <v>840</v>
      </c>
      <c r="D406" s="153"/>
      <c r="E406" s="678">
        <v>284500</v>
      </c>
      <c r="F406" s="629">
        <v>2000</v>
      </c>
      <c r="G406" s="629">
        <v>200</v>
      </c>
      <c r="H406" s="630">
        <v>80</v>
      </c>
      <c r="I406" s="594">
        <f>MROUND(E406*(1-$E$677/100)/F406,0.05)</f>
        <v>128.05000000000001</v>
      </c>
      <c r="J406" s="595">
        <f>MROUND($E406*(1+$E$677/100)/2*$E$682/100/$G406,0.05)</f>
        <v>11.75</v>
      </c>
      <c r="K406" s="600">
        <f>MROUND($E406*(1+$E$677/100)/2*$E$678/100/$G406,0.05)</f>
        <v>82.15</v>
      </c>
      <c r="L406" s="601">
        <f t="shared" si="263"/>
        <v>221.95000000000002</v>
      </c>
      <c r="M406" s="691">
        <f>MROUND($E406*$H406/100/$F406,0.05)</f>
        <v>113.80000000000001</v>
      </c>
      <c r="N406" s="650">
        <f t="shared" si="264"/>
        <v>0</v>
      </c>
      <c r="O406" s="601">
        <f t="shared" si="265"/>
        <v>113.80000000000001</v>
      </c>
      <c r="P406" s="599">
        <f t="shared" si="266"/>
        <v>335.75</v>
      </c>
      <c r="Q406" s="69"/>
      <c r="R406" s="69"/>
      <c r="S406" s="69"/>
      <c r="T406" s="903"/>
      <c r="U406" s="208" t="e">
        <f>25*#REF!</f>
        <v>#REF!</v>
      </c>
      <c r="V406" s="69"/>
      <c r="W406" s="69"/>
      <c r="Y406" s="189"/>
      <c r="Z406" s="69"/>
    </row>
    <row r="407" spans="1:26">
      <c r="A407" s="156">
        <f t="shared" si="246"/>
        <v>407</v>
      </c>
      <c r="B407" s="262"/>
      <c r="C407" s="726" t="s">
        <v>1501</v>
      </c>
      <c r="D407" s="153"/>
      <c r="E407" s="678">
        <v>300000</v>
      </c>
      <c r="F407" s="629">
        <v>2000</v>
      </c>
      <c r="G407" s="629">
        <v>200</v>
      </c>
      <c r="H407" s="630">
        <v>80</v>
      </c>
      <c r="I407" s="594">
        <f>MROUND(E407*(1-$E$677/100)/F407,0.05)</f>
        <v>135</v>
      </c>
      <c r="J407" s="595">
        <f>MROUND($E407*(1+$E$677/100)/2*$E$682/100/$G407,0.05)</f>
        <v>12.4</v>
      </c>
      <c r="K407" s="600">
        <f>MROUND($E407*(1+$E$677/100)/2*$E$678/100/$G407,0.05)</f>
        <v>86.65</v>
      </c>
      <c r="L407" s="601">
        <f t="shared" si="263"/>
        <v>234.05</v>
      </c>
      <c r="M407" s="691">
        <f>MROUND($E407*$H407/100/$F407,0.05)</f>
        <v>120</v>
      </c>
      <c r="N407" s="650">
        <f t="shared" si="264"/>
        <v>0</v>
      </c>
      <c r="O407" s="601">
        <f t="shared" si="265"/>
        <v>120</v>
      </c>
      <c r="P407" s="599">
        <f t="shared" si="266"/>
        <v>354.05</v>
      </c>
      <c r="Q407" s="69"/>
      <c r="R407" s="69"/>
      <c r="S407" s="69"/>
      <c r="T407" s="903"/>
      <c r="U407" s="208" t="e">
        <f>25*#REF!</f>
        <v>#REF!</v>
      </c>
      <c r="V407" s="69"/>
      <c r="W407" s="69"/>
      <c r="Y407" s="189"/>
      <c r="Z407" s="69"/>
    </row>
    <row r="408" spans="1:26">
      <c r="A408" s="156" t="str">
        <f t="shared" ref="A408:A437" si="267">IF(ISNUMBER(E408),ROW(),"")</f>
        <v/>
      </c>
      <c r="B408" s="262"/>
      <c r="C408" s="726"/>
      <c r="D408" s="153"/>
      <c r="E408" s="790"/>
      <c r="F408" s="629"/>
      <c r="G408" s="629"/>
      <c r="H408" s="629"/>
      <c r="I408" s="594"/>
      <c r="J408" s="595"/>
      <c r="K408" s="594"/>
      <c r="L408" s="596"/>
      <c r="M408" s="598"/>
      <c r="N408" s="598"/>
      <c r="O408" s="596"/>
      <c r="P408" s="599"/>
      <c r="Q408" s="69"/>
      <c r="R408" s="69"/>
      <c r="S408" s="69"/>
      <c r="T408" s="903"/>
      <c r="U408" s="205"/>
      <c r="V408" s="69"/>
      <c r="W408" s="69"/>
      <c r="Y408" s="189"/>
      <c r="Z408" s="69"/>
    </row>
    <row r="409" spans="1:26">
      <c r="A409" s="156" t="str">
        <f t="shared" si="267"/>
        <v/>
      </c>
      <c r="B409" s="262"/>
      <c r="C409" s="727" t="s">
        <v>285</v>
      </c>
      <c r="D409" s="153"/>
      <c r="E409" s="790"/>
      <c r="F409" s="629"/>
      <c r="G409" s="629"/>
      <c r="H409" s="629"/>
      <c r="I409" s="594"/>
      <c r="J409" s="595"/>
      <c r="K409" s="594"/>
      <c r="L409" s="596"/>
      <c r="M409" s="598"/>
      <c r="N409" s="598"/>
      <c r="O409" s="596"/>
      <c r="P409" s="599"/>
      <c r="Q409" s="69"/>
      <c r="R409" s="69"/>
      <c r="S409" s="69"/>
      <c r="T409" s="903"/>
      <c r="U409" s="205"/>
      <c r="V409" s="69"/>
      <c r="W409" s="69"/>
      <c r="Y409" s="189"/>
      <c r="Z409" s="69"/>
    </row>
    <row r="410" spans="1:26">
      <c r="A410" s="156">
        <f t="shared" si="267"/>
        <v>410</v>
      </c>
      <c r="B410" s="262"/>
      <c r="C410" s="726" t="s">
        <v>841</v>
      </c>
      <c r="D410" s="153"/>
      <c r="E410" s="678">
        <v>377750</v>
      </c>
      <c r="F410" s="629">
        <v>2000</v>
      </c>
      <c r="G410" s="629">
        <v>200</v>
      </c>
      <c r="H410" s="630">
        <v>80</v>
      </c>
      <c r="I410" s="594">
        <f>MROUND(E410*(1-$E$677/100)/F410,0.05)</f>
        <v>170</v>
      </c>
      <c r="J410" s="595">
        <f>MROUND($E410*(1+$E$677/100)/2*$E$682/100/$G410,0.05)</f>
        <v>15.600000000000001</v>
      </c>
      <c r="K410" s="600">
        <f>MROUND($E410*(1+$E$677/100)/2*$E$678/100/$G410,0.05)</f>
        <v>109.10000000000001</v>
      </c>
      <c r="L410" s="601">
        <f t="shared" ref="L410:L412" si="268">SUM(I410:K410)</f>
        <v>294.7</v>
      </c>
      <c r="M410" s="691">
        <f>MROUND($E410*$H410/100/$F410,0.05)</f>
        <v>151.1</v>
      </c>
      <c r="N410" s="650">
        <f t="shared" ref="N410:N412" si="269">MROUND(Y410*Z410,0.05)</f>
        <v>0</v>
      </c>
      <c r="O410" s="601">
        <f t="shared" ref="O410:O412" si="270">SUM(M410:N410)</f>
        <v>151.1</v>
      </c>
      <c r="P410" s="599">
        <f t="shared" ref="P410:P412" si="271">O410+L410</f>
        <v>445.79999999999995</v>
      </c>
      <c r="Q410" s="69"/>
      <c r="R410" s="69"/>
      <c r="S410" s="69"/>
      <c r="T410" s="903"/>
      <c r="U410" s="208" t="e">
        <f>25*#REF!</f>
        <v>#REF!</v>
      </c>
      <c r="V410" s="69"/>
      <c r="W410" s="69"/>
      <c r="Y410" s="189"/>
      <c r="Z410" s="69"/>
    </row>
    <row r="411" spans="1:26">
      <c r="A411" s="156">
        <f t="shared" si="267"/>
        <v>411</v>
      </c>
      <c r="B411" s="262"/>
      <c r="C411" s="726" t="s">
        <v>842</v>
      </c>
      <c r="D411" s="153"/>
      <c r="E411" s="678">
        <v>441750</v>
      </c>
      <c r="F411" s="629">
        <v>2000</v>
      </c>
      <c r="G411" s="629">
        <v>200</v>
      </c>
      <c r="H411" s="630">
        <v>80</v>
      </c>
      <c r="I411" s="594">
        <f>MROUND(E411*(1-$E$677/100)/F411,0.05)</f>
        <v>198.8</v>
      </c>
      <c r="J411" s="595">
        <f>MROUND($E411*(1+$E$677/100)/2*$E$682/100/$G411,0.05)</f>
        <v>18.2</v>
      </c>
      <c r="K411" s="600">
        <f>MROUND($E411*(1+$E$677/100)/2*$E$678/100/$G411,0.05)</f>
        <v>127.55000000000001</v>
      </c>
      <c r="L411" s="601">
        <f t="shared" si="268"/>
        <v>344.55</v>
      </c>
      <c r="M411" s="691">
        <f>MROUND($E411*$H411/100/$F411,0.05)</f>
        <v>176.70000000000002</v>
      </c>
      <c r="N411" s="650">
        <f t="shared" si="269"/>
        <v>0</v>
      </c>
      <c r="O411" s="601">
        <f t="shared" si="270"/>
        <v>176.70000000000002</v>
      </c>
      <c r="P411" s="599">
        <f t="shared" si="271"/>
        <v>521.25</v>
      </c>
      <c r="Q411" s="69"/>
      <c r="R411" s="69"/>
      <c r="S411" s="69"/>
      <c r="T411" s="903"/>
      <c r="U411" s="208" t="e">
        <f>25*#REF!</f>
        <v>#REF!</v>
      </c>
      <c r="V411" s="69"/>
      <c r="W411" s="69"/>
      <c r="Y411" s="189"/>
      <c r="Z411" s="69"/>
    </row>
    <row r="412" spans="1:26">
      <c r="A412" s="156">
        <f t="shared" si="267"/>
        <v>412</v>
      </c>
      <c r="B412" s="262"/>
      <c r="C412" s="726" t="s">
        <v>843</v>
      </c>
      <c r="D412" s="153"/>
      <c r="E412" s="678">
        <v>494250</v>
      </c>
      <c r="F412" s="629">
        <v>2000</v>
      </c>
      <c r="G412" s="629">
        <v>200</v>
      </c>
      <c r="H412" s="630">
        <v>80</v>
      </c>
      <c r="I412" s="594">
        <f>MROUND(E412*(1-$E$677/100)/F412,0.05)</f>
        <v>222.4</v>
      </c>
      <c r="J412" s="595">
        <f>MROUND($E412*(1+$E$677/100)/2*$E$682/100/$G412,0.05)</f>
        <v>20.400000000000002</v>
      </c>
      <c r="K412" s="600">
        <f>MROUND($E412*(1+$E$677/100)/2*$E$678/100/$G412,0.05)</f>
        <v>142.70000000000002</v>
      </c>
      <c r="L412" s="601">
        <f t="shared" si="268"/>
        <v>385.5</v>
      </c>
      <c r="M412" s="691">
        <f>MROUND($E412*$H412/100/$F412,0.05)</f>
        <v>197.70000000000002</v>
      </c>
      <c r="N412" s="650">
        <f t="shared" si="269"/>
        <v>0</v>
      </c>
      <c r="O412" s="601">
        <f t="shared" si="270"/>
        <v>197.70000000000002</v>
      </c>
      <c r="P412" s="599">
        <f t="shared" si="271"/>
        <v>583.20000000000005</v>
      </c>
      <c r="Q412" s="69"/>
      <c r="R412" s="69"/>
      <c r="S412" s="69"/>
      <c r="T412" s="903"/>
      <c r="U412" s="208" t="e">
        <f>25*#REF!</f>
        <v>#REF!</v>
      </c>
      <c r="V412" s="69"/>
      <c r="W412" s="69"/>
      <c r="Y412" s="189"/>
      <c r="Z412" s="69"/>
    </row>
    <row r="413" spans="1:26">
      <c r="A413" s="156" t="str">
        <f t="shared" si="267"/>
        <v/>
      </c>
      <c r="C413" s="823"/>
      <c r="D413" s="170"/>
      <c r="E413" s="563"/>
      <c r="F413" s="692"/>
      <c r="G413" s="692"/>
      <c r="H413" s="692"/>
      <c r="I413" s="605"/>
      <c r="J413" s="606"/>
      <c r="K413" s="605"/>
      <c r="L413" s="607"/>
      <c r="M413" s="608"/>
      <c r="N413" s="608"/>
      <c r="O413" s="607"/>
      <c r="P413" s="609"/>
      <c r="U413" s="207"/>
      <c r="Y413" s="189"/>
      <c r="Z413" s="69"/>
    </row>
    <row r="414" spans="1:26">
      <c r="A414" s="156" t="str">
        <f t="shared" si="267"/>
        <v/>
      </c>
      <c r="B414" s="263"/>
      <c r="C414" s="828"/>
      <c r="D414" s="829"/>
      <c r="E414" s="564"/>
      <c r="F414" s="174"/>
      <c r="G414" s="174"/>
      <c r="H414" s="174"/>
      <c r="I414" s="174"/>
      <c r="J414" s="174"/>
      <c r="K414" s="174"/>
      <c r="L414" s="174"/>
      <c r="M414" s="174"/>
      <c r="N414" s="174"/>
      <c r="O414" s="174"/>
      <c r="P414" s="174"/>
      <c r="Q414" s="155"/>
      <c r="R414" s="183"/>
      <c r="S414" s="310"/>
      <c r="T414" s="904"/>
      <c r="U414" s="203"/>
      <c r="V414" s="183"/>
      <c r="W414" s="183"/>
      <c r="Y414" s="189"/>
      <c r="Z414" s="69"/>
    </row>
    <row r="415" spans="1:26" ht="13.5" thickBot="1">
      <c r="A415" s="156" t="str">
        <f t="shared" si="267"/>
        <v/>
      </c>
      <c r="B415" s="266">
        <f>MAX($B$8:B414)+0.01</f>
        <v>11.03</v>
      </c>
      <c r="C415" s="824" t="s">
        <v>372</v>
      </c>
      <c r="D415" s="95"/>
      <c r="E415" s="713"/>
      <c r="F415" s="683"/>
      <c r="G415" s="683"/>
      <c r="H415" s="684"/>
      <c r="I415" s="684"/>
      <c r="J415" s="684"/>
      <c r="K415" s="684"/>
      <c r="L415" s="684"/>
      <c r="M415" s="685"/>
      <c r="N415" s="685"/>
      <c r="O415" s="685"/>
      <c r="P415" s="697" t="s">
        <v>287</v>
      </c>
      <c r="U415" s="204"/>
      <c r="Y415" s="189"/>
      <c r="Z415" s="69"/>
    </row>
    <row r="416" spans="1:26">
      <c r="A416" s="156" t="str">
        <f t="shared" si="267"/>
        <v/>
      </c>
      <c r="B416" s="262"/>
      <c r="C416" s="825"/>
      <c r="D416" s="826"/>
      <c r="E416" s="709"/>
      <c r="F416" s="687"/>
      <c r="G416" s="687"/>
      <c r="H416" s="589"/>
      <c r="I416" s="589"/>
      <c r="J416" s="589"/>
      <c r="K416" s="589"/>
      <c r="L416" s="589"/>
      <c r="M416" s="688"/>
      <c r="N416" s="688"/>
      <c r="O416" s="688"/>
      <c r="P416" s="689"/>
      <c r="Q416" s="69"/>
      <c r="R416" s="69"/>
      <c r="S416" s="69"/>
      <c r="T416" s="903"/>
      <c r="U416" s="205" t="s">
        <v>428</v>
      </c>
      <c r="V416" s="69"/>
      <c r="W416" s="69"/>
      <c r="Y416" s="189"/>
      <c r="Z416" s="69"/>
    </row>
    <row r="417" spans="1:26">
      <c r="A417" s="156" t="str">
        <f t="shared" si="267"/>
        <v/>
      </c>
      <c r="B417" s="262"/>
      <c r="C417" s="727" t="s">
        <v>284</v>
      </c>
      <c r="D417" s="153"/>
      <c r="E417" s="710"/>
      <c r="F417" s="690"/>
      <c r="G417" s="690"/>
      <c r="H417" s="585"/>
      <c r="I417" s="585"/>
      <c r="J417" s="585"/>
      <c r="K417" s="585"/>
      <c r="L417" s="585"/>
      <c r="M417" s="175"/>
      <c r="N417" s="175"/>
      <c r="O417" s="175"/>
      <c r="P417" s="586"/>
      <c r="Q417" s="69"/>
      <c r="R417" s="69"/>
      <c r="S417" s="69"/>
      <c r="T417" s="903"/>
      <c r="U417" s="205"/>
      <c r="V417" s="69"/>
      <c r="W417" s="69"/>
      <c r="Y417" s="189"/>
      <c r="Z417" s="69"/>
    </row>
    <row r="418" spans="1:26">
      <c r="A418" s="310">
        <f t="shared" si="267"/>
        <v>418</v>
      </c>
      <c r="B418" s="262"/>
      <c r="C418" s="726" t="s">
        <v>844</v>
      </c>
      <c r="D418" s="153"/>
      <c r="E418" s="678">
        <v>310750</v>
      </c>
      <c r="F418" s="629">
        <v>2000</v>
      </c>
      <c r="G418" s="629">
        <v>200</v>
      </c>
      <c r="H418" s="630">
        <v>60</v>
      </c>
      <c r="I418" s="594">
        <f>MROUND(E418*(1-$E$677/100)/F418,0.05)</f>
        <v>139.85</v>
      </c>
      <c r="J418" s="595">
        <f>MROUND($E418*(1+$E$677/100)/2*$E$682/100/$G418,0.05)</f>
        <v>12.8</v>
      </c>
      <c r="K418" s="600">
        <f>MROUND($E418*(1+$E$677/100)/2*$E$678/100/$G418,0.05)</f>
        <v>89.75</v>
      </c>
      <c r="L418" s="601">
        <f t="shared" ref="L418:L419" si="272">SUM(I418:K418)</f>
        <v>242.4</v>
      </c>
      <c r="M418" s="691">
        <f>MROUND($E418*$H418/100/$F418,0.05)</f>
        <v>93.2</v>
      </c>
      <c r="N418" s="650">
        <f t="shared" ref="N418:N419" si="273">MROUND(Y418*Z418,0.05)</f>
        <v>0</v>
      </c>
      <c r="O418" s="601">
        <f t="shared" ref="O418:O419" si="274">SUM(M418:N418)</f>
        <v>93.2</v>
      </c>
      <c r="P418" s="599">
        <f t="shared" ref="P418:P419" si="275">O418+L418</f>
        <v>335.6</v>
      </c>
      <c r="Q418" s="69"/>
      <c r="R418" s="69"/>
      <c r="S418" s="69"/>
      <c r="T418" s="903"/>
      <c r="U418" s="208" t="e">
        <f>25*#REF!</f>
        <v>#REF!</v>
      </c>
      <c r="V418" s="69"/>
      <c r="W418" s="69"/>
      <c r="Y418" s="442"/>
      <c r="Z418" s="69"/>
    </row>
    <row r="419" spans="1:26">
      <c r="A419" s="156">
        <f t="shared" si="267"/>
        <v>419</v>
      </c>
      <c r="B419" s="262"/>
      <c r="C419" s="726" t="s">
        <v>845</v>
      </c>
      <c r="D419" s="153"/>
      <c r="E419" s="678">
        <v>350000</v>
      </c>
      <c r="F419" s="629">
        <v>2000</v>
      </c>
      <c r="G419" s="629">
        <v>200</v>
      </c>
      <c r="H419" s="630">
        <v>60</v>
      </c>
      <c r="I419" s="594">
        <f>MROUND(E419*(1-$E$677/100)/F419,0.05)</f>
        <v>157.5</v>
      </c>
      <c r="J419" s="595">
        <f>MROUND($E419*(1+$E$677/100)/2*$E$682/100/$G419,0.05)</f>
        <v>14.450000000000001</v>
      </c>
      <c r="K419" s="600">
        <f>MROUND($E419*(1+$E$677/100)/2*$E$678/100/$G419,0.05)</f>
        <v>101.05000000000001</v>
      </c>
      <c r="L419" s="601">
        <f t="shared" si="272"/>
        <v>273</v>
      </c>
      <c r="M419" s="691">
        <f>MROUND($E419*$H419/100/$F419,0.05)</f>
        <v>105</v>
      </c>
      <c r="N419" s="650">
        <f t="shared" si="273"/>
        <v>0</v>
      </c>
      <c r="O419" s="601">
        <f t="shared" si="274"/>
        <v>105</v>
      </c>
      <c r="P419" s="599">
        <f t="shared" si="275"/>
        <v>378</v>
      </c>
      <c r="Q419" s="69"/>
      <c r="R419" s="69"/>
      <c r="S419" s="69"/>
      <c r="T419" s="903"/>
      <c r="U419" s="208" t="e">
        <f>25*#REF!</f>
        <v>#REF!</v>
      </c>
      <c r="V419" s="69"/>
      <c r="W419" s="69"/>
      <c r="Y419" s="189"/>
      <c r="Z419" s="69"/>
    </row>
    <row r="420" spans="1:26">
      <c r="A420" s="156" t="str">
        <f t="shared" si="267"/>
        <v/>
      </c>
      <c r="B420" s="262"/>
      <c r="C420" s="820"/>
      <c r="D420" s="153"/>
      <c r="E420" s="790"/>
      <c r="F420" s="690"/>
      <c r="G420" s="690"/>
      <c r="H420" s="585"/>
      <c r="I420" s="585"/>
      <c r="J420" s="585"/>
      <c r="K420" s="585"/>
      <c r="L420" s="585"/>
      <c r="M420" s="175"/>
      <c r="N420" s="175"/>
      <c r="O420" s="175"/>
      <c r="P420" s="586"/>
      <c r="Q420" s="69"/>
      <c r="R420" s="69"/>
      <c r="S420" s="69"/>
      <c r="T420" s="903"/>
      <c r="U420" s="205"/>
      <c r="V420" s="69"/>
      <c r="W420" s="69"/>
      <c r="Y420" s="189"/>
      <c r="Z420" s="69"/>
    </row>
    <row r="421" spans="1:26">
      <c r="A421" s="156" t="str">
        <f t="shared" si="267"/>
        <v/>
      </c>
      <c r="B421" s="262"/>
      <c r="C421" s="727" t="s">
        <v>846</v>
      </c>
      <c r="D421" s="153"/>
      <c r="E421" s="790"/>
      <c r="F421" s="690"/>
      <c r="G421" s="690"/>
      <c r="H421" s="585"/>
      <c r="I421" s="585"/>
      <c r="J421" s="585"/>
      <c r="K421" s="585"/>
      <c r="L421" s="585"/>
      <c r="M421" s="175"/>
      <c r="N421" s="175"/>
      <c r="O421" s="175"/>
      <c r="P421" s="586"/>
      <c r="Q421" s="69"/>
      <c r="R421" s="69"/>
      <c r="S421" s="69"/>
      <c r="T421" s="903"/>
      <c r="U421" s="205"/>
      <c r="V421" s="69"/>
      <c r="W421" s="69"/>
      <c r="Y421" s="189"/>
      <c r="Z421" s="69"/>
    </row>
    <row r="422" spans="1:26">
      <c r="A422" s="156">
        <f t="shared" si="267"/>
        <v>422</v>
      </c>
      <c r="B422" s="262"/>
      <c r="C422" s="726" t="s">
        <v>847</v>
      </c>
      <c r="D422" s="153"/>
      <c r="E422" s="678">
        <v>522700</v>
      </c>
      <c r="F422" s="629">
        <v>2000</v>
      </c>
      <c r="G422" s="629">
        <v>200</v>
      </c>
      <c r="H422" s="630">
        <v>60</v>
      </c>
      <c r="I422" s="594">
        <f>MROUND(E422*(1-$E$677/100)/F422,0.05)</f>
        <v>235.20000000000002</v>
      </c>
      <c r="J422" s="595">
        <f>MROUND($E422*(1+$E$677/100)/2*$E$682/100/$G422,0.05)</f>
        <v>21.55</v>
      </c>
      <c r="K422" s="600">
        <f>MROUND($E422*(1+$E$677/100)/2*$E$678/100/$G422,0.05)</f>
        <v>150.95000000000002</v>
      </c>
      <c r="L422" s="601">
        <f t="shared" ref="L422:L426" si="276">SUM(I422:K422)</f>
        <v>407.70000000000005</v>
      </c>
      <c r="M422" s="691">
        <f>MROUND($E422*$H422/100/$F422,0.05)</f>
        <v>156.80000000000001</v>
      </c>
      <c r="N422" s="650">
        <f t="shared" ref="N422:N426" si="277">MROUND(Y422*Z422,0.05)</f>
        <v>0</v>
      </c>
      <c r="O422" s="601">
        <f t="shared" ref="O422:O426" si="278">SUM(M422:N422)</f>
        <v>156.80000000000001</v>
      </c>
      <c r="P422" s="599">
        <f t="shared" ref="P422:P426" si="279">O422+L422</f>
        <v>564.5</v>
      </c>
      <c r="Q422" s="69"/>
      <c r="R422" s="69"/>
      <c r="S422" s="69"/>
      <c r="T422" s="903"/>
      <c r="U422" s="208" t="e">
        <f>25*#REF!</f>
        <v>#REF!</v>
      </c>
      <c r="V422" s="69"/>
      <c r="W422" s="69"/>
      <c r="Y422" s="189"/>
      <c r="Z422" s="69"/>
    </row>
    <row r="423" spans="1:26">
      <c r="A423" s="156">
        <f t="shared" si="267"/>
        <v>423</v>
      </c>
      <c r="B423" s="262"/>
      <c r="C423" s="726" t="s">
        <v>848</v>
      </c>
      <c r="D423" s="153"/>
      <c r="E423" s="678">
        <v>527250</v>
      </c>
      <c r="F423" s="629">
        <v>2000</v>
      </c>
      <c r="G423" s="629">
        <v>200</v>
      </c>
      <c r="H423" s="630">
        <v>60</v>
      </c>
      <c r="I423" s="594">
        <f>MROUND(E423*(1-$E$677/100)/F423,0.05)</f>
        <v>237.25</v>
      </c>
      <c r="J423" s="595">
        <f>MROUND($E423*(1+$E$677/100)/2*$E$682/100/$G423,0.05)</f>
        <v>21.75</v>
      </c>
      <c r="K423" s="600">
        <f>MROUND($E423*(1+$E$677/100)/2*$E$678/100/$G423,0.05)</f>
        <v>152.25</v>
      </c>
      <c r="L423" s="601">
        <f t="shared" si="276"/>
        <v>411.25</v>
      </c>
      <c r="M423" s="691">
        <f>MROUND($E423*$H423/100/$F423,0.05)</f>
        <v>158.20000000000002</v>
      </c>
      <c r="N423" s="650">
        <f t="shared" si="277"/>
        <v>0</v>
      </c>
      <c r="O423" s="601">
        <f t="shared" si="278"/>
        <v>158.20000000000002</v>
      </c>
      <c r="P423" s="599">
        <f t="shared" si="279"/>
        <v>569.45000000000005</v>
      </c>
      <c r="Q423" s="69"/>
      <c r="R423" s="69"/>
      <c r="S423" s="69"/>
      <c r="T423" s="903"/>
      <c r="U423" s="208" t="e">
        <f>25*#REF!</f>
        <v>#REF!</v>
      </c>
      <c r="V423" s="69"/>
      <c r="W423" s="69"/>
      <c r="Y423" s="189"/>
      <c r="Z423" s="69"/>
    </row>
    <row r="424" spans="1:26">
      <c r="A424" s="156">
        <f t="shared" si="267"/>
        <v>424</v>
      </c>
      <c r="B424" s="262"/>
      <c r="C424" s="726" t="s">
        <v>849</v>
      </c>
      <c r="D424" s="153"/>
      <c r="E424" s="678">
        <v>571750</v>
      </c>
      <c r="F424" s="629">
        <v>2000</v>
      </c>
      <c r="G424" s="629">
        <v>200</v>
      </c>
      <c r="H424" s="630">
        <v>60</v>
      </c>
      <c r="I424" s="594">
        <f>MROUND(E424*(1-$E$677/100)/F424,0.05)</f>
        <v>257.3</v>
      </c>
      <c r="J424" s="595">
        <f>MROUND($E424*(1+$E$677/100)/2*$E$682/100/$G424,0.05)</f>
        <v>23.6</v>
      </c>
      <c r="K424" s="600">
        <f>MROUND($E424*(1+$E$677/100)/2*$E$678/100/$G424,0.05)</f>
        <v>165.10000000000002</v>
      </c>
      <c r="L424" s="601">
        <f t="shared" si="276"/>
        <v>446.00000000000006</v>
      </c>
      <c r="M424" s="691">
        <f>MROUND($E424*$H424/100/$F424,0.05)</f>
        <v>171.55</v>
      </c>
      <c r="N424" s="650">
        <f t="shared" si="277"/>
        <v>0</v>
      </c>
      <c r="O424" s="601">
        <f t="shared" si="278"/>
        <v>171.55</v>
      </c>
      <c r="P424" s="599">
        <f t="shared" si="279"/>
        <v>617.55000000000007</v>
      </c>
      <c r="Q424" s="69"/>
      <c r="R424" s="69"/>
      <c r="S424" s="69"/>
      <c r="T424" s="903"/>
      <c r="U424" s="208" t="e">
        <f>25*#REF!</f>
        <v>#REF!</v>
      </c>
      <c r="V424" s="69"/>
      <c r="W424" s="69"/>
      <c r="Y424" s="189"/>
      <c r="Z424" s="69"/>
    </row>
    <row r="425" spans="1:26">
      <c r="A425" s="156">
        <f t="shared" si="267"/>
        <v>425</v>
      </c>
      <c r="B425" s="262"/>
      <c r="C425" s="726" t="s">
        <v>850</v>
      </c>
      <c r="D425" s="153"/>
      <c r="E425" s="678">
        <v>645250</v>
      </c>
      <c r="F425" s="629">
        <v>2000</v>
      </c>
      <c r="G425" s="629">
        <v>200</v>
      </c>
      <c r="H425" s="630">
        <v>60</v>
      </c>
      <c r="I425" s="594">
        <f>MROUND(E425*(1-$E$677/100)/F425,0.05)</f>
        <v>290.35000000000002</v>
      </c>
      <c r="J425" s="595">
        <f>MROUND($E425*(1+$E$677/100)/2*$E$682/100/$G425,0.05)</f>
        <v>26.6</v>
      </c>
      <c r="K425" s="600">
        <f>MROUND($E425*(1+$E$677/100)/2*$E$678/100/$G425,0.05)</f>
        <v>186.3</v>
      </c>
      <c r="L425" s="601">
        <f t="shared" si="276"/>
        <v>503.25000000000006</v>
      </c>
      <c r="M425" s="691">
        <f>MROUND($E425*$H425/100/$F425,0.05)</f>
        <v>193.55</v>
      </c>
      <c r="N425" s="650">
        <f t="shared" si="277"/>
        <v>0</v>
      </c>
      <c r="O425" s="601">
        <f t="shared" si="278"/>
        <v>193.55</v>
      </c>
      <c r="P425" s="599">
        <f t="shared" si="279"/>
        <v>696.80000000000007</v>
      </c>
      <c r="Q425" s="69"/>
      <c r="R425" s="69"/>
      <c r="S425" s="69"/>
      <c r="T425" s="903"/>
      <c r="U425" s="208" t="e">
        <f>25*#REF!</f>
        <v>#REF!</v>
      </c>
      <c r="V425" s="69"/>
      <c r="W425" s="69"/>
      <c r="Y425" s="189"/>
      <c r="Z425" s="69"/>
    </row>
    <row r="426" spans="1:26">
      <c r="A426" s="156">
        <f t="shared" si="267"/>
        <v>426</v>
      </c>
      <c r="B426" s="262"/>
      <c r="C426" s="726" t="s">
        <v>851</v>
      </c>
      <c r="D426" s="153"/>
      <c r="E426" s="678">
        <v>724500</v>
      </c>
      <c r="F426" s="629">
        <v>2000</v>
      </c>
      <c r="G426" s="629">
        <v>200</v>
      </c>
      <c r="H426" s="630">
        <v>60</v>
      </c>
      <c r="I426" s="594">
        <f>MROUND(E426*(1-$E$677/100)/F426,0.05)</f>
        <v>326</v>
      </c>
      <c r="J426" s="595">
        <f>MROUND($E426*(1+$E$677/100)/2*$E$682/100/$G426,0.05)</f>
        <v>29.900000000000002</v>
      </c>
      <c r="K426" s="600">
        <f>MROUND($E426*(1+$E$677/100)/2*$E$678/100/$G426,0.05)</f>
        <v>209.20000000000002</v>
      </c>
      <c r="L426" s="601">
        <f t="shared" si="276"/>
        <v>565.1</v>
      </c>
      <c r="M426" s="691">
        <f>MROUND($E426*$H426/100/$F426,0.05)</f>
        <v>217.35000000000002</v>
      </c>
      <c r="N426" s="650">
        <f t="shared" si="277"/>
        <v>0</v>
      </c>
      <c r="O426" s="601">
        <f t="shared" si="278"/>
        <v>217.35000000000002</v>
      </c>
      <c r="P426" s="599">
        <f t="shared" si="279"/>
        <v>782.45</v>
      </c>
      <c r="Q426" s="69"/>
      <c r="R426" s="69"/>
      <c r="S426" s="69"/>
      <c r="T426" s="903"/>
      <c r="U426" s="208" t="e">
        <f>25*#REF!</f>
        <v>#REF!</v>
      </c>
      <c r="V426" s="69"/>
      <c r="W426" s="69"/>
      <c r="Y426" s="189"/>
      <c r="Z426" s="69"/>
    </row>
    <row r="427" spans="1:26">
      <c r="A427" s="156" t="str">
        <f t="shared" si="267"/>
        <v/>
      </c>
      <c r="B427" s="262"/>
      <c r="C427" s="820"/>
      <c r="D427" s="153"/>
      <c r="E427" s="790"/>
      <c r="F427" s="690"/>
      <c r="G427" s="690"/>
      <c r="H427" s="585"/>
      <c r="I427" s="585"/>
      <c r="J427" s="585"/>
      <c r="K427" s="585"/>
      <c r="L427" s="585"/>
      <c r="M427" s="175"/>
      <c r="N427" s="175"/>
      <c r="O427" s="175"/>
      <c r="P427" s="586"/>
      <c r="Q427" s="69"/>
      <c r="R427" s="69"/>
      <c r="S427" s="69"/>
      <c r="T427" s="903"/>
      <c r="U427" s="205"/>
      <c r="V427" s="69"/>
      <c r="W427" s="69"/>
      <c r="Y427" s="189"/>
      <c r="Z427" s="69"/>
    </row>
    <row r="428" spans="1:26">
      <c r="A428" s="156" t="str">
        <f t="shared" si="267"/>
        <v/>
      </c>
      <c r="B428" s="262"/>
      <c r="C428" s="727" t="s">
        <v>857</v>
      </c>
      <c r="D428" s="153"/>
      <c r="E428" s="790"/>
      <c r="F428" s="690"/>
      <c r="G428" s="690"/>
      <c r="H428" s="585"/>
      <c r="I428" s="585"/>
      <c r="J428" s="585"/>
      <c r="K428" s="585"/>
      <c r="L428" s="585"/>
      <c r="M428" s="175"/>
      <c r="N428" s="175"/>
      <c r="O428" s="175"/>
      <c r="P428" s="586"/>
      <c r="Q428" s="69"/>
      <c r="R428" s="69"/>
      <c r="S428" s="69"/>
      <c r="T428" s="903"/>
      <c r="U428" s="205"/>
      <c r="V428" s="69"/>
      <c r="W428" s="69"/>
      <c r="Y428" s="189"/>
      <c r="Z428" s="69"/>
    </row>
    <row r="429" spans="1:26">
      <c r="A429" s="156">
        <f t="shared" si="267"/>
        <v>429</v>
      </c>
      <c r="B429" s="262"/>
      <c r="C429" s="726" t="s">
        <v>852</v>
      </c>
      <c r="D429" s="153"/>
      <c r="E429" s="678">
        <v>507000</v>
      </c>
      <c r="F429" s="629">
        <v>2000</v>
      </c>
      <c r="G429" s="629">
        <v>200</v>
      </c>
      <c r="H429" s="630">
        <v>60</v>
      </c>
      <c r="I429" s="594">
        <f>MROUND(E429*(1-$E$677/100)/F429,0.05)</f>
        <v>228.15</v>
      </c>
      <c r="J429" s="595">
        <f>MROUND($E429*(1+$E$677/100)/2*$E$682/100/$G429,0.05)</f>
        <v>20.900000000000002</v>
      </c>
      <c r="K429" s="600">
        <f>MROUND($E429*(1+$E$677/100)/2*$E$678/100/$G429,0.05)</f>
        <v>146.4</v>
      </c>
      <c r="L429" s="601">
        <f t="shared" ref="L429:L431" si="280">SUM(I429:K429)</f>
        <v>395.45000000000005</v>
      </c>
      <c r="M429" s="691">
        <f>MROUND($E429*$H429/100/$F429,0.05)</f>
        <v>152.1</v>
      </c>
      <c r="N429" s="650">
        <f t="shared" ref="N429:N431" si="281">MROUND(Y429*Z429,0.05)</f>
        <v>0</v>
      </c>
      <c r="O429" s="601">
        <f t="shared" ref="O429:O431" si="282">SUM(M429:N429)</f>
        <v>152.1</v>
      </c>
      <c r="P429" s="599">
        <f t="shared" ref="P429:P431" si="283">O429+L429</f>
        <v>547.55000000000007</v>
      </c>
      <c r="Q429" s="69"/>
      <c r="R429" s="69"/>
      <c r="S429" s="69"/>
      <c r="T429" s="903"/>
      <c r="U429" s="208" t="e">
        <f>25*#REF!</f>
        <v>#REF!</v>
      </c>
      <c r="V429" s="69"/>
      <c r="W429" s="69"/>
      <c r="Y429" s="189"/>
      <c r="Z429" s="69"/>
    </row>
    <row r="430" spans="1:26">
      <c r="A430" s="156">
        <f t="shared" si="267"/>
        <v>430</v>
      </c>
      <c r="B430" s="262"/>
      <c r="C430" s="726" t="s">
        <v>853</v>
      </c>
      <c r="D430" s="153"/>
      <c r="E430" s="678">
        <v>558250</v>
      </c>
      <c r="F430" s="629">
        <v>2000</v>
      </c>
      <c r="G430" s="629">
        <v>200</v>
      </c>
      <c r="H430" s="630">
        <v>60</v>
      </c>
      <c r="I430" s="594">
        <f>MROUND(E430*(1-$E$677/100)/F430,0.05)</f>
        <v>251.20000000000002</v>
      </c>
      <c r="J430" s="595">
        <f>MROUND($E430*(1+$E$677/100)/2*$E$682/100/$G430,0.05)</f>
        <v>23.05</v>
      </c>
      <c r="K430" s="600">
        <f>MROUND($E430*(1+$E$677/100)/2*$E$678/100/$G430,0.05)</f>
        <v>161.20000000000002</v>
      </c>
      <c r="L430" s="601">
        <f t="shared" si="280"/>
        <v>435.45000000000005</v>
      </c>
      <c r="M430" s="691">
        <f>MROUND($E430*$H430/100/$F430,0.05)</f>
        <v>167.45000000000002</v>
      </c>
      <c r="N430" s="650">
        <f t="shared" si="281"/>
        <v>0</v>
      </c>
      <c r="O430" s="601">
        <f t="shared" si="282"/>
        <v>167.45000000000002</v>
      </c>
      <c r="P430" s="599">
        <f t="shared" si="283"/>
        <v>602.90000000000009</v>
      </c>
      <c r="Q430" s="69"/>
      <c r="R430" s="69"/>
      <c r="S430" s="69"/>
      <c r="T430" s="903"/>
      <c r="U430" s="208" t="e">
        <f>25*#REF!</f>
        <v>#REF!</v>
      </c>
      <c r="V430" s="69"/>
      <c r="W430" s="69"/>
      <c r="Y430" s="189"/>
      <c r="Z430" s="69"/>
    </row>
    <row r="431" spans="1:26">
      <c r="A431" s="156">
        <f t="shared" si="267"/>
        <v>431</v>
      </c>
      <c r="B431" s="262"/>
      <c r="C431" s="726" t="s">
        <v>854</v>
      </c>
      <c r="D431" s="153"/>
      <c r="E431" s="678">
        <v>641500</v>
      </c>
      <c r="F431" s="629">
        <v>2000</v>
      </c>
      <c r="G431" s="629">
        <v>200</v>
      </c>
      <c r="H431" s="630">
        <v>60</v>
      </c>
      <c r="I431" s="594">
        <f>MROUND(E431*(1-$E$677/100)/F431,0.05)</f>
        <v>288.7</v>
      </c>
      <c r="J431" s="595">
        <f>MROUND($E431*(1+$E$677/100)/2*$E$682/100/$G431,0.05)</f>
        <v>26.450000000000003</v>
      </c>
      <c r="K431" s="600">
        <f>MROUND($E431*(1+$E$677/100)/2*$E$678/100/$G431,0.05)</f>
        <v>185.25</v>
      </c>
      <c r="L431" s="601">
        <f t="shared" si="280"/>
        <v>500.4</v>
      </c>
      <c r="M431" s="691">
        <f>MROUND($E431*$H431/100/$F431,0.05)</f>
        <v>192.45000000000002</v>
      </c>
      <c r="N431" s="650">
        <f t="shared" si="281"/>
        <v>0</v>
      </c>
      <c r="O431" s="601">
        <f t="shared" si="282"/>
        <v>192.45000000000002</v>
      </c>
      <c r="P431" s="599">
        <f t="shared" si="283"/>
        <v>692.85</v>
      </c>
      <c r="Q431" s="69"/>
      <c r="R431" s="69"/>
      <c r="S431" s="69"/>
      <c r="T431" s="903"/>
      <c r="U431" s="208" t="e">
        <f>25*#REF!</f>
        <v>#REF!</v>
      </c>
      <c r="V431" s="69"/>
      <c r="W431" s="69"/>
      <c r="Y431" s="189"/>
      <c r="Z431" s="69"/>
    </row>
    <row r="432" spans="1:26">
      <c r="A432" s="156" t="str">
        <f t="shared" si="267"/>
        <v/>
      </c>
      <c r="B432" s="262"/>
      <c r="C432" s="726"/>
      <c r="D432" s="153"/>
      <c r="E432" s="790"/>
      <c r="F432" s="629"/>
      <c r="G432" s="629"/>
      <c r="H432" s="629"/>
      <c r="I432" s="594"/>
      <c r="J432" s="595"/>
      <c r="K432" s="594"/>
      <c r="L432" s="596"/>
      <c r="M432" s="598"/>
      <c r="N432" s="598"/>
      <c r="O432" s="596"/>
      <c r="P432" s="599"/>
      <c r="Q432" s="69"/>
      <c r="R432" s="69"/>
      <c r="S432" s="69"/>
      <c r="T432" s="903"/>
      <c r="U432" s="205"/>
      <c r="V432" s="69"/>
      <c r="W432" s="69"/>
      <c r="Y432" s="189"/>
      <c r="Z432" s="69"/>
    </row>
    <row r="433" spans="1:26">
      <c r="A433" s="156" t="str">
        <f t="shared" si="267"/>
        <v/>
      </c>
      <c r="B433" s="262"/>
      <c r="C433" s="727" t="s">
        <v>286</v>
      </c>
      <c r="D433" s="153"/>
      <c r="E433" s="790"/>
      <c r="F433" s="629"/>
      <c r="G433" s="629"/>
      <c r="H433" s="629"/>
      <c r="I433" s="594"/>
      <c r="J433" s="595"/>
      <c r="K433" s="594"/>
      <c r="L433" s="596"/>
      <c r="M433" s="598"/>
      <c r="N433" s="598"/>
      <c r="O433" s="596"/>
      <c r="P433" s="599"/>
      <c r="Q433" s="69"/>
      <c r="R433" s="69"/>
      <c r="S433" s="69"/>
      <c r="T433" s="903"/>
      <c r="U433" s="205"/>
      <c r="V433" s="69"/>
      <c r="W433" s="69"/>
      <c r="Y433" s="189"/>
      <c r="Z433" s="69"/>
    </row>
    <row r="434" spans="1:26">
      <c r="A434" s="156">
        <f t="shared" si="267"/>
        <v>434</v>
      </c>
      <c r="B434" s="262"/>
      <c r="C434" s="726" t="s">
        <v>855</v>
      </c>
      <c r="D434" s="153"/>
      <c r="E434" s="678">
        <v>292250</v>
      </c>
      <c r="F434" s="629">
        <v>2000</v>
      </c>
      <c r="G434" s="629">
        <v>200</v>
      </c>
      <c r="H434" s="630">
        <v>60</v>
      </c>
      <c r="I434" s="594">
        <f>MROUND(E434*(1-$E$677/100)/F434,0.05)</f>
        <v>131.5</v>
      </c>
      <c r="J434" s="595">
        <f>MROUND($E434*(1+$E$677/100)/2*$E$682/100/$G434,0.05)</f>
        <v>12.05</v>
      </c>
      <c r="K434" s="600">
        <f>MROUND($E434*(1+$E$677/100)/2*$E$678/100/$G434,0.05)</f>
        <v>84.4</v>
      </c>
      <c r="L434" s="601">
        <f t="shared" ref="L434:L435" si="284">SUM(I434:K434)</f>
        <v>227.95000000000002</v>
      </c>
      <c r="M434" s="691">
        <f>MROUND($E434*$H434/100/$F434,0.05)</f>
        <v>87.65</v>
      </c>
      <c r="N434" s="650">
        <f t="shared" ref="N434:N435" si="285">MROUND(Y434*Z434,0.05)</f>
        <v>0</v>
      </c>
      <c r="O434" s="601">
        <f t="shared" ref="O434:O435" si="286">SUM(M434:N434)</f>
        <v>87.65</v>
      </c>
      <c r="P434" s="599">
        <f t="shared" ref="P434:P435" si="287">O434+L434</f>
        <v>315.60000000000002</v>
      </c>
      <c r="Q434" s="69"/>
      <c r="R434" s="69"/>
      <c r="S434" s="69"/>
      <c r="T434" s="903"/>
      <c r="U434" s="208" t="e">
        <f>25*#REF!</f>
        <v>#REF!</v>
      </c>
      <c r="V434" s="69"/>
      <c r="W434" s="69"/>
      <c r="Y434" s="189"/>
      <c r="Z434" s="69"/>
    </row>
    <row r="435" spans="1:26">
      <c r="A435" s="156">
        <f t="shared" si="267"/>
        <v>435</v>
      </c>
      <c r="B435" s="262"/>
      <c r="C435" s="726" t="s">
        <v>856</v>
      </c>
      <c r="D435" s="153"/>
      <c r="E435" s="678">
        <v>446500</v>
      </c>
      <c r="F435" s="629">
        <v>2000</v>
      </c>
      <c r="G435" s="629">
        <v>200</v>
      </c>
      <c r="H435" s="630">
        <v>60</v>
      </c>
      <c r="I435" s="594">
        <f>MROUND(E435*(1-$E$677/100)/F435,0.05)</f>
        <v>200.95000000000002</v>
      </c>
      <c r="J435" s="595">
        <f>MROUND($E435*(1+$E$677/100)/2*$E$682/100/$G435,0.05)</f>
        <v>18.400000000000002</v>
      </c>
      <c r="K435" s="600">
        <f>MROUND($E435*(1+$E$677/100)/2*$E$678/100/$G435,0.05)</f>
        <v>128.95000000000002</v>
      </c>
      <c r="L435" s="601">
        <f t="shared" si="284"/>
        <v>348.30000000000007</v>
      </c>
      <c r="M435" s="691">
        <f>MROUND($E435*$H435/100/$F435,0.05)</f>
        <v>133.95000000000002</v>
      </c>
      <c r="N435" s="650">
        <f t="shared" si="285"/>
        <v>0</v>
      </c>
      <c r="O435" s="601">
        <f t="shared" si="286"/>
        <v>133.95000000000002</v>
      </c>
      <c r="P435" s="599">
        <f t="shared" si="287"/>
        <v>482.25000000000011</v>
      </c>
      <c r="Q435" s="69"/>
      <c r="R435" s="69"/>
      <c r="S435" s="69"/>
      <c r="T435" s="903"/>
      <c r="U435" s="208" t="e">
        <f>25*#REF!</f>
        <v>#REF!</v>
      </c>
      <c r="V435" s="69"/>
      <c r="W435" s="69"/>
      <c r="Y435" s="189"/>
      <c r="Z435" s="69"/>
    </row>
    <row r="436" spans="1:26">
      <c r="A436" s="156" t="str">
        <f t="shared" si="267"/>
        <v/>
      </c>
      <c r="C436" s="823"/>
      <c r="D436" s="170"/>
      <c r="E436" s="563"/>
      <c r="F436" s="692"/>
      <c r="G436" s="692"/>
      <c r="H436" s="692"/>
      <c r="I436" s="605"/>
      <c r="J436" s="606"/>
      <c r="K436" s="605"/>
      <c r="L436" s="607"/>
      <c r="M436" s="608"/>
      <c r="N436" s="608"/>
      <c r="O436" s="607"/>
      <c r="P436" s="609"/>
      <c r="U436" s="207"/>
      <c r="Y436" s="189"/>
      <c r="Z436" s="69"/>
    </row>
    <row r="437" spans="1:26">
      <c r="A437" s="156" t="str">
        <f t="shared" si="267"/>
        <v/>
      </c>
      <c r="B437" s="263"/>
      <c r="C437" s="828"/>
      <c r="D437" s="829"/>
      <c r="E437" s="564"/>
      <c r="F437" s="174"/>
      <c r="G437" s="174"/>
      <c r="H437" s="174"/>
      <c r="I437" s="174"/>
      <c r="J437" s="174"/>
      <c r="K437" s="174"/>
      <c r="L437" s="174"/>
      <c r="M437" s="174"/>
      <c r="N437" s="174"/>
      <c r="O437" s="174"/>
      <c r="P437" s="174"/>
      <c r="Q437" s="155"/>
      <c r="R437" s="183"/>
      <c r="S437" s="310"/>
      <c r="T437" s="904"/>
      <c r="U437" s="203"/>
      <c r="V437" s="183"/>
      <c r="W437" s="183"/>
      <c r="Y437" s="189"/>
    </row>
    <row r="438" spans="1:26" ht="13.5" thickBot="1">
      <c r="A438" s="156" t="str">
        <f t="shared" ref="A438:A441" si="288">IF(ISNUMBER(E438),ROW(),"")</f>
        <v/>
      </c>
      <c r="B438" s="521">
        <f>MAX($B$8:B437)+0.01</f>
        <v>11.04</v>
      </c>
      <c r="C438" s="819" t="s">
        <v>983</v>
      </c>
      <c r="D438" s="95"/>
      <c r="E438" s="713"/>
      <c r="F438" s="683"/>
      <c r="G438" s="683"/>
      <c r="H438" s="684"/>
      <c r="I438" s="684"/>
      <c r="J438" s="684"/>
      <c r="K438" s="684"/>
      <c r="L438" s="684"/>
      <c r="M438" s="685"/>
      <c r="N438" s="685"/>
      <c r="O438" s="685"/>
      <c r="P438" s="697" t="s">
        <v>297</v>
      </c>
      <c r="U438" s="204"/>
      <c r="Y438" s="189"/>
      <c r="Z438" s="69"/>
    </row>
    <row r="439" spans="1:26">
      <c r="A439" s="156" t="str">
        <f t="shared" si="288"/>
        <v/>
      </c>
      <c r="B439" s="261"/>
      <c r="C439" s="825"/>
      <c r="D439" s="826"/>
      <c r="E439" s="709"/>
      <c r="F439" s="687"/>
      <c r="G439" s="687"/>
      <c r="H439" s="589"/>
      <c r="I439" s="589"/>
      <c r="J439" s="589"/>
      <c r="K439" s="589"/>
      <c r="L439" s="589"/>
      <c r="M439" s="688"/>
      <c r="N439" s="688"/>
      <c r="O439" s="688"/>
      <c r="P439" s="689"/>
      <c r="Q439" s="69"/>
      <c r="R439" s="69"/>
      <c r="S439" s="69"/>
      <c r="T439" s="903"/>
      <c r="U439" s="205"/>
      <c r="Y439" s="189"/>
      <c r="Z439" s="69"/>
    </row>
    <row r="440" spans="1:26">
      <c r="A440" s="156">
        <f t="shared" si="288"/>
        <v>440</v>
      </c>
      <c r="B440" s="262"/>
      <c r="C440" s="726" t="s">
        <v>759</v>
      </c>
      <c r="D440" s="153"/>
      <c r="E440" s="678">
        <v>19250</v>
      </c>
      <c r="F440" s="629">
        <v>2000</v>
      </c>
      <c r="G440" s="629">
        <v>200</v>
      </c>
      <c r="H440" s="630">
        <v>80</v>
      </c>
      <c r="I440" s="594">
        <f>MROUND(E440*(1-$E$677/100)/F440,0.05)</f>
        <v>8.65</v>
      </c>
      <c r="J440" s="595">
        <f>MROUND($E440*(1+$E$677/100)/2*$E$682/100/$G440,0.05)</f>
        <v>0.8</v>
      </c>
      <c r="K440" s="600">
        <f>MROUND($E440*(1+$E$677/100)/2*$E$678/100/$G440,0.05)</f>
        <v>5.5500000000000007</v>
      </c>
      <c r="L440" s="601">
        <f t="shared" ref="L440:L441" si="289">SUM(I440:K440)</f>
        <v>15.000000000000002</v>
      </c>
      <c r="M440" s="691">
        <f>MROUND($E440*$H440/100/$F440,0.05)</f>
        <v>7.7</v>
      </c>
      <c r="N440" s="650">
        <f t="shared" ref="N440:N441" si="290">MROUND(Y440*Z440,0.05)</f>
        <v>0</v>
      </c>
      <c r="O440" s="601">
        <f t="shared" ref="O440:O441" si="291">SUM(M440:N440)</f>
        <v>7.7</v>
      </c>
      <c r="P440" s="599">
        <f t="shared" ref="P440:P441" si="292">O440+L440</f>
        <v>22.700000000000003</v>
      </c>
      <c r="Q440" s="69"/>
      <c r="R440" s="69"/>
      <c r="S440" s="69"/>
      <c r="T440" s="903"/>
      <c r="U440" s="208" t="s">
        <v>337</v>
      </c>
      <c r="V440" s="69"/>
      <c r="W440" s="69"/>
      <c r="Y440" s="189"/>
      <c r="Z440" s="69"/>
    </row>
    <row r="441" spans="1:26">
      <c r="A441" s="156">
        <f t="shared" si="288"/>
        <v>441</v>
      </c>
      <c r="B441" s="262"/>
      <c r="C441" s="726" t="s">
        <v>758</v>
      </c>
      <c r="D441" s="153"/>
      <c r="E441" s="678">
        <v>22500</v>
      </c>
      <c r="F441" s="629">
        <v>2000</v>
      </c>
      <c r="G441" s="629">
        <v>200</v>
      </c>
      <c r="H441" s="630">
        <v>80</v>
      </c>
      <c r="I441" s="594">
        <f>MROUND(E441*(1-$E$677/100)/F441,0.05)</f>
        <v>10.15</v>
      </c>
      <c r="J441" s="595">
        <f>MROUND($E441*(1+$E$677/100)/2*$E$682/100/$G441,0.05)</f>
        <v>0.95000000000000007</v>
      </c>
      <c r="K441" s="600">
        <f>MROUND($E441*(1+$E$677/100)/2*$E$678/100/$G441,0.05)</f>
        <v>6.5</v>
      </c>
      <c r="L441" s="601">
        <f t="shared" si="289"/>
        <v>17.600000000000001</v>
      </c>
      <c r="M441" s="691">
        <f>MROUND($E441*$H441/100/$F441,0.05)</f>
        <v>9</v>
      </c>
      <c r="N441" s="650">
        <f t="shared" si="290"/>
        <v>0</v>
      </c>
      <c r="O441" s="601">
        <f t="shared" si="291"/>
        <v>9</v>
      </c>
      <c r="P441" s="599">
        <f t="shared" si="292"/>
        <v>26.6</v>
      </c>
      <c r="Q441" s="69"/>
      <c r="R441" s="69"/>
      <c r="S441" s="69"/>
      <c r="T441" s="903"/>
      <c r="U441" s="208" t="s">
        <v>338</v>
      </c>
      <c r="V441" s="69"/>
      <c r="W441" s="69"/>
      <c r="Y441" s="189"/>
      <c r="Z441" s="69"/>
    </row>
    <row r="442" spans="1:26">
      <c r="A442" s="183"/>
      <c r="B442" s="262"/>
      <c r="C442" s="726"/>
      <c r="D442" s="153"/>
      <c r="E442" s="678"/>
      <c r="F442" s="629"/>
      <c r="G442" s="629"/>
      <c r="H442" s="630"/>
      <c r="I442" s="594"/>
      <c r="J442" s="595"/>
      <c r="K442" s="600"/>
      <c r="L442" s="601"/>
      <c r="M442" s="691"/>
      <c r="N442" s="650"/>
      <c r="O442" s="601"/>
      <c r="P442" s="599"/>
      <c r="Q442" s="69"/>
      <c r="R442" s="69"/>
      <c r="S442" s="69"/>
      <c r="T442" s="903"/>
      <c r="U442" s="208"/>
      <c r="V442" s="69"/>
      <c r="W442" s="69"/>
      <c r="Y442" s="212"/>
      <c r="Z442" s="69"/>
    </row>
    <row r="443" spans="1:26">
      <c r="A443" s="156">
        <f>IF(ISNUMBER(E443),ROW(),"")</f>
        <v>443</v>
      </c>
      <c r="B443" s="262"/>
      <c r="C443" s="726" t="s">
        <v>760</v>
      </c>
      <c r="D443" s="153"/>
      <c r="E443" s="678">
        <v>25250</v>
      </c>
      <c r="F443" s="629">
        <v>2000</v>
      </c>
      <c r="G443" s="629">
        <v>200</v>
      </c>
      <c r="H443" s="630">
        <v>80</v>
      </c>
      <c r="I443" s="594">
        <f>MROUND(E443*(1-$E$677/100)/F443,0.05)</f>
        <v>11.350000000000001</v>
      </c>
      <c r="J443" s="595">
        <f>MROUND($E443*(1+$E$677/100)/2*$E$682/100/$G443,0.05)</f>
        <v>1.05</v>
      </c>
      <c r="K443" s="600">
        <f>MROUND($E443*(1+$E$677/100)/2*$E$678/100/$G443,0.05)</f>
        <v>7.3000000000000007</v>
      </c>
      <c r="L443" s="601">
        <f t="shared" ref="L443:L444" si="293">SUM(I443:K443)</f>
        <v>19.700000000000003</v>
      </c>
      <c r="M443" s="691">
        <f>MROUND($E443*$H443/100/$F443,0.05)</f>
        <v>10.100000000000001</v>
      </c>
      <c r="N443" s="650">
        <f t="shared" ref="N443:N444" si="294">MROUND(Y443*Z443,0.05)</f>
        <v>0</v>
      </c>
      <c r="O443" s="601">
        <f t="shared" ref="O443:O444" si="295">SUM(M443:N443)</f>
        <v>10.100000000000001</v>
      </c>
      <c r="P443" s="599">
        <f t="shared" ref="P443:P444" si="296">O443+L443</f>
        <v>29.800000000000004</v>
      </c>
      <c r="Q443" s="69"/>
      <c r="R443" s="69"/>
      <c r="S443" s="69"/>
      <c r="T443" s="903"/>
      <c r="U443" s="208" t="s">
        <v>339</v>
      </c>
      <c r="V443" s="69"/>
      <c r="W443" s="69"/>
      <c r="Y443" s="189"/>
      <c r="Z443" s="69"/>
    </row>
    <row r="444" spans="1:26">
      <c r="A444" s="156">
        <f>IF(ISNUMBER(E444),ROW(),"")</f>
        <v>444</v>
      </c>
      <c r="B444" s="262"/>
      <c r="C444" s="726" t="s">
        <v>761</v>
      </c>
      <c r="D444" s="153"/>
      <c r="E444" s="678">
        <v>29750</v>
      </c>
      <c r="F444" s="629">
        <v>2000</v>
      </c>
      <c r="G444" s="629">
        <v>200</v>
      </c>
      <c r="H444" s="630">
        <v>80</v>
      </c>
      <c r="I444" s="594">
        <f>MROUND(E444*(1-$E$677/100)/F444,0.05)</f>
        <v>13.4</v>
      </c>
      <c r="J444" s="595">
        <f>MROUND($E444*(1+$E$677/100)/2*$E$682/100/$G444,0.05)</f>
        <v>1.25</v>
      </c>
      <c r="K444" s="600">
        <f>MROUND($E444*(1+$E$677/100)/2*$E$678/100/$G444,0.05)</f>
        <v>8.6</v>
      </c>
      <c r="L444" s="601">
        <f t="shared" si="293"/>
        <v>23.25</v>
      </c>
      <c r="M444" s="691">
        <f>MROUND($E444*$H444/100/$F444,0.05)</f>
        <v>11.9</v>
      </c>
      <c r="N444" s="650">
        <f t="shared" si="294"/>
        <v>0</v>
      </c>
      <c r="O444" s="601">
        <f t="shared" si="295"/>
        <v>11.9</v>
      </c>
      <c r="P444" s="599">
        <f t="shared" si="296"/>
        <v>35.15</v>
      </c>
      <c r="Q444" s="69"/>
      <c r="R444" s="69"/>
      <c r="S444" s="69"/>
      <c r="T444" s="903"/>
      <c r="U444" s="208" t="s">
        <v>340</v>
      </c>
      <c r="V444" s="69"/>
      <c r="W444" s="69"/>
      <c r="Y444" s="189"/>
      <c r="Z444" s="69"/>
    </row>
    <row r="445" spans="1:26">
      <c r="A445" s="183"/>
      <c r="B445" s="262"/>
      <c r="C445" s="726"/>
      <c r="D445" s="153"/>
      <c r="E445" s="678"/>
      <c r="F445" s="629"/>
      <c r="G445" s="629"/>
      <c r="H445" s="630"/>
      <c r="I445" s="594"/>
      <c r="J445" s="595"/>
      <c r="K445" s="600"/>
      <c r="L445" s="601"/>
      <c r="M445" s="691"/>
      <c r="N445" s="650"/>
      <c r="O445" s="601"/>
      <c r="P445" s="599"/>
      <c r="Q445" s="69"/>
      <c r="R445" s="69"/>
      <c r="S445" s="69"/>
      <c r="T445" s="903"/>
      <c r="U445" s="208"/>
      <c r="V445" s="69"/>
      <c r="W445" s="69"/>
      <c r="Y445" s="212"/>
      <c r="Z445" s="69"/>
    </row>
    <row r="446" spans="1:26">
      <c r="A446" s="156">
        <f>IF(ISNUMBER(E446),ROW(),"")</f>
        <v>446</v>
      </c>
      <c r="B446" s="262"/>
      <c r="C446" s="726" t="s">
        <v>762</v>
      </c>
      <c r="D446" s="153"/>
      <c r="E446" s="678">
        <v>33750</v>
      </c>
      <c r="F446" s="629">
        <v>2000</v>
      </c>
      <c r="G446" s="629">
        <v>200</v>
      </c>
      <c r="H446" s="630">
        <v>80</v>
      </c>
      <c r="I446" s="594">
        <f>MROUND(E446*(1-$E$677/100)/F446,0.05)</f>
        <v>15.200000000000001</v>
      </c>
      <c r="J446" s="595">
        <f>MROUND($E446*(1+$E$677/100)/2*$E$682/100/$G446,0.05)</f>
        <v>1.4000000000000001</v>
      </c>
      <c r="K446" s="600">
        <f>MROUND($E446*(1+$E$677/100)/2*$E$678/100/$G446,0.05)</f>
        <v>9.75</v>
      </c>
      <c r="L446" s="601">
        <f t="shared" ref="L446:L449" si="297">SUM(I446:K446)</f>
        <v>26.35</v>
      </c>
      <c r="M446" s="691">
        <f>MROUND($E446*$H446/100/$F446,0.05)</f>
        <v>13.5</v>
      </c>
      <c r="N446" s="650">
        <f t="shared" ref="N446:N449" si="298">MROUND(Y446*Z446,0.05)</f>
        <v>0</v>
      </c>
      <c r="O446" s="601">
        <f t="shared" ref="O446:O449" si="299">SUM(M446:N446)</f>
        <v>13.5</v>
      </c>
      <c r="P446" s="599">
        <f t="shared" ref="P446:P449" si="300">O446+L446</f>
        <v>39.85</v>
      </c>
      <c r="Q446" s="69"/>
      <c r="R446" s="69"/>
      <c r="S446" s="69"/>
      <c r="T446" s="903"/>
      <c r="U446" s="208" t="s">
        <v>340</v>
      </c>
      <c r="V446" s="69"/>
      <c r="W446" s="69"/>
      <c r="Y446" s="189"/>
      <c r="Z446" s="69"/>
    </row>
    <row r="447" spans="1:26">
      <c r="A447" s="156">
        <f>IF(ISNUMBER(E447),ROW(),"")</f>
        <v>447</v>
      </c>
      <c r="B447" s="262"/>
      <c r="C447" s="726" t="s">
        <v>765</v>
      </c>
      <c r="D447" s="153"/>
      <c r="E447" s="678">
        <v>36750</v>
      </c>
      <c r="F447" s="629">
        <v>2000</v>
      </c>
      <c r="G447" s="629">
        <v>200</v>
      </c>
      <c r="H447" s="630">
        <v>80</v>
      </c>
      <c r="I447" s="594">
        <f>MROUND(E447*(1-$E$677/100)/F447,0.05)</f>
        <v>16.55</v>
      </c>
      <c r="J447" s="595">
        <f>MROUND($E447*(1+$E$677/100)/2*$E$682/100/$G447,0.05)</f>
        <v>1.5</v>
      </c>
      <c r="K447" s="600">
        <f>MROUND($E447*(1+$E$677/100)/2*$E$678/100/$G447,0.05)</f>
        <v>10.600000000000001</v>
      </c>
      <c r="L447" s="601">
        <f t="shared" si="297"/>
        <v>28.650000000000002</v>
      </c>
      <c r="M447" s="691">
        <f>MROUND($E447*$H447/100/$F447,0.05)</f>
        <v>14.700000000000001</v>
      </c>
      <c r="N447" s="650">
        <f t="shared" si="298"/>
        <v>0</v>
      </c>
      <c r="O447" s="601">
        <f t="shared" si="299"/>
        <v>14.700000000000001</v>
      </c>
      <c r="P447" s="599">
        <f t="shared" si="300"/>
        <v>43.35</v>
      </c>
      <c r="Q447" s="69"/>
      <c r="R447" s="69"/>
      <c r="S447" s="69"/>
      <c r="T447" s="903"/>
      <c r="U447" s="208" t="s">
        <v>341</v>
      </c>
      <c r="V447" s="69"/>
      <c r="W447" s="69"/>
      <c r="Y447" s="189"/>
      <c r="Z447" s="69"/>
    </row>
    <row r="448" spans="1:26">
      <c r="A448" s="156">
        <f>IF(ISNUMBER(E448),ROW(),"")</f>
        <v>448</v>
      </c>
      <c r="B448" s="262"/>
      <c r="C448" s="726" t="s">
        <v>766</v>
      </c>
      <c r="D448" s="153"/>
      <c r="E448" s="678">
        <v>41000</v>
      </c>
      <c r="F448" s="629">
        <v>2000</v>
      </c>
      <c r="G448" s="629">
        <v>200</v>
      </c>
      <c r="H448" s="630">
        <v>80</v>
      </c>
      <c r="I448" s="594">
        <f>MROUND(E448*(1-$E$677/100)/F448,0.05)</f>
        <v>18.45</v>
      </c>
      <c r="J448" s="595">
        <f>MROUND($E448*(1+$E$677/100)/2*$E$682/100/$G448,0.05)</f>
        <v>1.7000000000000002</v>
      </c>
      <c r="K448" s="600">
        <f>MROUND($E448*(1+$E$677/100)/2*$E$678/100/$G448,0.05)</f>
        <v>11.850000000000001</v>
      </c>
      <c r="L448" s="601">
        <f t="shared" si="297"/>
        <v>32</v>
      </c>
      <c r="M448" s="691">
        <f>MROUND($E448*$H448/100/$F448,0.05)</f>
        <v>16.400000000000002</v>
      </c>
      <c r="N448" s="650">
        <f t="shared" si="298"/>
        <v>0</v>
      </c>
      <c r="O448" s="601">
        <f t="shared" si="299"/>
        <v>16.400000000000002</v>
      </c>
      <c r="P448" s="599">
        <f t="shared" si="300"/>
        <v>48.400000000000006</v>
      </c>
      <c r="Q448" s="69"/>
      <c r="R448" s="69"/>
      <c r="S448" s="69"/>
      <c r="T448" s="903"/>
      <c r="U448" s="208" t="s">
        <v>342</v>
      </c>
      <c r="V448" s="69"/>
      <c r="W448" s="69"/>
      <c r="Y448" s="189"/>
      <c r="Z448" s="69"/>
    </row>
    <row r="449" spans="1:26">
      <c r="A449" s="156">
        <f>IF(ISNUMBER(E449),ROW(),"")</f>
        <v>449</v>
      </c>
      <c r="B449" s="262"/>
      <c r="C449" s="726" t="s">
        <v>763</v>
      </c>
      <c r="D449" s="153"/>
      <c r="E449" s="678">
        <v>150500</v>
      </c>
      <c r="F449" s="629">
        <v>2000</v>
      </c>
      <c r="G449" s="629">
        <v>200</v>
      </c>
      <c r="H449" s="630">
        <v>80</v>
      </c>
      <c r="I449" s="594">
        <f>MROUND(E449*(1-$E$677/100)/F449,0.05)</f>
        <v>67.7</v>
      </c>
      <c r="J449" s="595">
        <f>MROUND($E449*(1+$E$677/100)/2*$E$682/100/$G449,0.05)</f>
        <v>6.2</v>
      </c>
      <c r="K449" s="600">
        <f>MROUND($E449*(1+$E$677/100)/2*$E$678/100/$G449,0.05)</f>
        <v>43.45</v>
      </c>
      <c r="L449" s="601">
        <f t="shared" si="297"/>
        <v>117.35000000000001</v>
      </c>
      <c r="M449" s="691">
        <f>MROUND($E449*$H449/100/$F449,0.05)</f>
        <v>60.2</v>
      </c>
      <c r="N449" s="650">
        <f t="shared" si="298"/>
        <v>0</v>
      </c>
      <c r="O449" s="601">
        <f t="shared" si="299"/>
        <v>60.2</v>
      </c>
      <c r="P449" s="599">
        <f t="shared" si="300"/>
        <v>177.55</v>
      </c>
      <c r="Q449" s="69"/>
      <c r="R449" s="69"/>
      <c r="S449" s="69"/>
      <c r="T449" s="903"/>
      <c r="U449" s="208" t="s">
        <v>343</v>
      </c>
      <c r="V449" s="69"/>
      <c r="W449" s="69"/>
      <c r="Y449" s="189"/>
      <c r="Z449" s="69"/>
    </row>
    <row r="450" spans="1:26">
      <c r="A450" s="183"/>
      <c r="B450" s="262"/>
      <c r="C450" s="726"/>
      <c r="D450" s="153"/>
      <c r="E450" s="678"/>
      <c r="F450" s="629"/>
      <c r="G450" s="629"/>
      <c r="H450" s="630"/>
      <c r="I450" s="594"/>
      <c r="J450" s="595"/>
      <c r="K450" s="600"/>
      <c r="L450" s="601"/>
      <c r="M450" s="691"/>
      <c r="N450" s="650"/>
      <c r="O450" s="601"/>
      <c r="P450" s="599"/>
      <c r="Q450" s="69"/>
      <c r="R450" s="69"/>
      <c r="S450" s="69"/>
      <c r="T450" s="903"/>
      <c r="U450" s="208"/>
      <c r="V450" s="69"/>
      <c r="W450" s="69"/>
      <c r="Y450" s="212"/>
      <c r="Z450" s="69"/>
    </row>
    <row r="451" spans="1:26">
      <c r="A451" s="156">
        <f>IF(ISNUMBER(E451),ROW(),"")</f>
        <v>451</v>
      </c>
      <c r="B451" s="262"/>
      <c r="C451" s="726" t="s">
        <v>767</v>
      </c>
      <c r="D451" s="153"/>
      <c r="E451" s="678">
        <v>45750</v>
      </c>
      <c r="F451" s="629">
        <v>2000</v>
      </c>
      <c r="G451" s="629">
        <v>200</v>
      </c>
      <c r="H451" s="630">
        <v>80</v>
      </c>
      <c r="I451" s="594">
        <f>MROUND(E451*(1-$E$677/100)/F451,0.05)</f>
        <v>20.6</v>
      </c>
      <c r="J451" s="595">
        <f>MROUND($E451*(1+$E$677/100)/2*$E$682/100/$G451,0.05)</f>
        <v>1.9000000000000001</v>
      </c>
      <c r="K451" s="600">
        <f>MROUND($E451*(1+$E$677/100)/2*$E$678/100/$G451,0.05)</f>
        <v>13.200000000000001</v>
      </c>
      <c r="L451" s="601">
        <f t="shared" ref="L451:L453" si="301">SUM(I451:K451)</f>
        <v>35.700000000000003</v>
      </c>
      <c r="M451" s="691">
        <f>MROUND($E451*$H451/100/$F451,0.05)</f>
        <v>18.3</v>
      </c>
      <c r="N451" s="650">
        <f t="shared" ref="N451:N453" si="302">MROUND(Y451*Z451,0.05)</f>
        <v>0</v>
      </c>
      <c r="O451" s="601">
        <f t="shared" ref="O451:O453" si="303">SUM(M451:N451)</f>
        <v>18.3</v>
      </c>
      <c r="P451" s="599">
        <f t="shared" ref="P451:P453" si="304">O451+L451</f>
        <v>54</v>
      </c>
      <c r="Q451" s="69"/>
      <c r="R451" s="69"/>
      <c r="S451" s="69"/>
      <c r="T451" s="903"/>
      <c r="U451" s="208" t="s">
        <v>344</v>
      </c>
      <c r="V451" s="69"/>
      <c r="W451" s="69"/>
      <c r="Y451" s="189"/>
      <c r="Z451" s="69"/>
    </row>
    <row r="452" spans="1:26">
      <c r="A452" s="156">
        <f>IF(ISNUMBER(E452),ROW(),"")</f>
        <v>452</v>
      </c>
      <c r="B452" s="262"/>
      <c r="C452" s="726" t="s">
        <v>768</v>
      </c>
      <c r="D452" s="153"/>
      <c r="E452" s="678">
        <v>47000</v>
      </c>
      <c r="F452" s="629">
        <v>2000</v>
      </c>
      <c r="G452" s="629">
        <v>200</v>
      </c>
      <c r="H452" s="630">
        <v>80</v>
      </c>
      <c r="I452" s="594">
        <f>MROUND(E452*(1-$E$677/100)/F452,0.05)</f>
        <v>21.150000000000002</v>
      </c>
      <c r="J452" s="595">
        <f>MROUND($E452*(1+$E$677/100)/2*$E$682/100/$G452,0.05)</f>
        <v>1.9500000000000002</v>
      </c>
      <c r="K452" s="600">
        <f>MROUND($E452*(1+$E$677/100)/2*$E$678/100/$G452,0.05)</f>
        <v>13.55</v>
      </c>
      <c r="L452" s="601">
        <f t="shared" si="301"/>
        <v>36.650000000000006</v>
      </c>
      <c r="M452" s="691">
        <f>MROUND($E452*$H452/100/$F452,0.05)</f>
        <v>18.8</v>
      </c>
      <c r="N452" s="650">
        <f t="shared" si="302"/>
        <v>0</v>
      </c>
      <c r="O452" s="601">
        <f t="shared" si="303"/>
        <v>18.8</v>
      </c>
      <c r="P452" s="599">
        <f t="shared" si="304"/>
        <v>55.45</v>
      </c>
      <c r="Q452" s="69"/>
      <c r="R452" s="69"/>
      <c r="S452" s="69"/>
      <c r="T452" s="903"/>
      <c r="U452" s="208" t="s">
        <v>345</v>
      </c>
      <c r="V452" s="69"/>
      <c r="W452" s="69"/>
      <c r="Y452" s="189"/>
      <c r="Z452" s="69"/>
    </row>
    <row r="453" spans="1:26">
      <c r="A453" s="156">
        <f>IF(ISNUMBER(E453),ROW(),"")</f>
        <v>453</v>
      </c>
      <c r="B453" s="262"/>
      <c r="C453" s="726" t="s">
        <v>764</v>
      </c>
      <c r="D453" s="153"/>
      <c r="E453" s="678">
        <v>49500</v>
      </c>
      <c r="F453" s="629">
        <v>2000</v>
      </c>
      <c r="G453" s="629">
        <v>200</v>
      </c>
      <c r="H453" s="630">
        <v>80</v>
      </c>
      <c r="I453" s="594">
        <f>MROUND(E453*(1-$E$677/100)/F453,0.05)</f>
        <v>22.25</v>
      </c>
      <c r="J453" s="595">
        <f>MROUND($E453*(1+$E$677/100)/2*$E$682/100/$G453,0.05)</f>
        <v>2.0500000000000003</v>
      </c>
      <c r="K453" s="600">
        <f>MROUND($E453*(1+$E$677/100)/2*$E$678/100/$G453,0.05)</f>
        <v>14.3</v>
      </c>
      <c r="L453" s="601">
        <f t="shared" si="301"/>
        <v>38.6</v>
      </c>
      <c r="M453" s="691">
        <f>MROUND($E453*$H453/100/$F453,0.05)</f>
        <v>19.8</v>
      </c>
      <c r="N453" s="650">
        <f t="shared" si="302"/>
        <v>0</v>
      </c>
      <c r="O453" s="601">
        <f t="shared" si="303"/>
        <v>19.8</v>
      </c>
      <c r="P453" s="599">
        <f t="shared" si="304"/>
        <v>58.400000000000006</v>
      </c>
      <c r="Q453" s="69"/>
      <c r="R453" s="69"/>
      <c r="S453" s="69"/>
      <c r="T453" s="903"/>
      <c r="U453" s="208" t="s">
        <v>346</v>
      </c>
      <c r="V453" s="69"/>
      <c r="W453" s="69"/>
      <c r="Y453" s="189"/>
      <c r="Z453" s="69"/>
    </row>
    <row r="454" spans="1:26">
      <c r="A454" s="156" t="str">
        <f>IF(ISNUMBER(E454),ROW(),"")</f>
        <v/>
      </c>
      <c r="B454" s="261"/>
      <c r="C454" s="823"/>
      <c r="D454" s="170"/>
      <c r="E454" s="563"/>
      <c r="F454" s="692"/>
      <c r="G454" s="692"/>
      <c r="H454" s="692"/>
      <c r="I454" s="605"/>
      <c r="J454" s="606"/>
      <c r="K454" s="605"/>
      <c r="L454" s="607"/>
      <c r="M454" s="608"/>
      <c r="N454" s="608"/>
      <c r="O454" s="607"/>
      <c r="P454" s="609"/>
      <c r="U454" s="207"/>
      <c r="Y454" s="189"/>
      <c r="Z454" s="69"/>
    </row>
    <row r="455" spans="1:26">
      <c r="A455" s="156" t="str">
        <f>IF(ISNUMBER(E455),ROW(),"")</f>
        <v/>
      </c>
      <c r="B455" s="261"/>
      <c r="C455" s="725"/>
      <c r="D455" s="153"/>
      <c r="E455" s="557"/>
      <c r="F455" s="585"/>
      <c r="G455" s="585"/>
      <c r="H455" s="585"/>
      <c r="I455" s="585"/>
      <c r="J455" s="585"/>
      <c r="K455" s="585"/>
      <c r="L455" s="585"/>
      <c r="M455" s="175"/>
      <c r="N455" s="175"/>
      <c r="O455" s="175"/>
      <c r="P455" s="585"/>
      <c r="U455" s="201"/>
      <c r="Y455" s="189"/>
      <c r="Z455" s="69"/>
    </row>
    <row r="456" spans="1:26" ht="13.5" thickBot="1">
      <c r="A456" s="156" t="str">
        <f t="shared" ref="A456:A463" si="305">IF(ISNUMBER(E456),ROW(),"")</f>
        <v/>
      </c>
      <c r="B456" s="266">
        <f>MAX($B$8:B455)+0.01</f>
        <v>11.049999999999999</v>
      </c>
      <c r="C456" s="824" t="s">
        <v>242</v>
      </c>
      <c r="D456" s="95"/>
      <c r="E456" s="713"/>
      <c r="F456" s="683"/>
      <c r="G456" s="683"/>
      <c r="H456" s="684"/>
      <c r="I456" s="684"/>
      <c r="J456" s="684"/>
      <c r="K456" s="684"/>
      <c r="L456" s="684"/>
      <c r="M456" s="685"/>
      <c r="N456" s="685"/>
      <c r="O456" s="685"/>
      <c r="P456" s="697" t="s">
        <v>292</v>
      </c>
      <c r="U456" s="204"/>
      <c r="Y456" s="189"/>
      <c r="Z456" s="69"/>
    </row>
    <row r="457" spans="1:26">
      <c r="A457" s="156" t="str">
        <f t="shared" si="305"/>
        <v/>
      </c>
      <c r="B457" s="262"/>
      <c r="C457" s="825"/>
      <c r="D457" s="826"/>
      <c r="E457" s="709"/>
      <c r="F457" s="687"/>
      <c r="G457" s="687"/>
      <c r="H457" s="589"/>
      <c r="I457" s="589"/>
      <c r="J457" s="589"/>
      <c r="K457" s="589"/>
      <c r="L457" s="589"/>
      <c r="M457" s="688"/>
      <c r="N457" s="688"/>
      <c r="O457" s="688"/>
      <c r="P457" s="689"/>
      <c r="Q457" s="69"/>
      <c r="R457" s="69"/>
      <c r="S457" s="69"/>
      <c r="T457" s="903"/>
      <c r="U457" s="205"/>
      <c r="V457" s="69"/>
      <c r="W457" s="69"/>
      <c r="Y457" s="189"/>
    </row>
    <row r="458" spans="1:26">
      <c r="A458" s="156" t="str">
        <f t="shared" si="305"/>
        <v/>
      </c>
      <c r="B458" s="262"/>
      <c r="C458" s="727" t="s">
        <v>284</v>
      </c>
      <c r="D458" s="153"/>
      <c r="E458" s="710"/>
      <c r="F458" s="690"/>
      <c r="G458" s="690"/>
      <c r="H458" s="585"/>
      <c r="I458" s="585"/>
      <c r="J458" s="585"/>
      <c r="K458" s="585"/>
      <c r="L458" s="585"/>
      <c r="M458" s="175"/>
      <c r="N458" s="175"/>
      <c r="O458" s="175"/>
      <c r="P458" s="586"/>
      <c r="Q458" s="69"/>
      <c r="R458" s="69"/>
      <c r="S458" s="69"/>
      <c r="T458" s="903"/>
      <c r="U458" s="205" t="s">
        <v>238</v>
      </c>
      <c r="V458" s="69"/>
      <c r="W458" s="69"/>
      <c r="Y458" s="189"/>
    </row>
    <row r="459" spans="1:26">
      <c r="A459" s="156">
        <f t="shared" si="305"/>
        <v>459</v>
      </c>
      <c r="B459" s="262"/>
      <c r="C459" s="726" t="s">
        <v>858</v>
      </c>
      <c r="D459" s="153"/>
      <c r="E459" s="678">
        <v>117250</v>
      </c>
      <c r="F459" s="629">
        <v>2000</v>
      </c>
      <c r="G459" s="629">
        <v>200</v>
      </c>
      <c r="H459" s="630">
        <v>80</v>
      </c>
      <c r="I459" s="594">
        <f>MROUND(E459*(1-$E$677/100)/F459,0.05)</f>
        <v>52.75</v>
      </c>
      <c r="J459" s="595">
        <f>MROUND($E459*(1+$E$677/100)/2*$E$682/100/$G459,0.05)</f>
        <v>4.8500000000000005</v>
      </c>
      <c r="K459" s="600">
        <f>MROUND($E459*(1+$E$677/100)/2*$E$678/100/$G459,0.05)</f>
        <v>33.85</v>
      </c>
      <c r="L459" s="601">
        <f t="shared" ref="L459:L462" si="306">SUM(I459:K459)</f>
        <v>91.45</v>
      </c>
      <c r="M459" s="691">
        <f>MROUND($E459*$H459/100/$F459,0.05)</f>
        <v>46.900000000000006</v>
      </c>
      <c r="N459" s="650">
        <f t="shared" ref="N459:N462" si="307">MROUND(Y459*Z459,0.05)</f>
        <v>0</v>
      </c>
      <c r="O459" s="601">
        <f t="shared" ref="O459:O462" si="308">SUM(M459:N459)</f>
        <v>46.900000000000006</v>
      </c>
      <c r="P459" s="599">
        <f t="shared" ref="P459:P462" si="309">O459+L459</f>
        <v>138.35000000000002</v>
      </c>
      <c r="Q459" s="69"/>
      <c r="R459" s="69"/>
      <c r="S459" s="69"/>
      <c r="T459" s="903"/>
      <c r="U459" s="208">
        <v>75</v>
      </c>
      <c r="V459" s="69"/>
      <c r="W459" s="69"/>
      <c r="Y459" s="189"/>
    </row>
    <row r="460" spans="1:26">
      <c r="A460" s="156">
        <f t="shared" si="305"/>
        <v>460</v>
      </c>
      <c r="B460" s="262"/>
      <c r="C460" s="726" t="s">
        <v>859</v>
      </c>
      <c r="D460" s="153"/>
      <c r="E460" s="678">
        <v>222250</v>
      </c>
      <c r="F460" s="629">
        <v>2000</v>
      </c>
      <c r="G460" s="629">
        <v>200</v>
      </c>
      <c r="H460" s="630">
        <v>80</v>
      </c>
      <c r="I460" s="594">
        <f>MROUND(E460*(1-$E$677/100)/F460,0.05)</f>
        <v>100</v>
      </c>
      <c r="J460" s="595">
        <f>MROUND($E460*(1+$E$677/100)/2*$E$682/100/$G460,0.05)</f>
        <v>9.15</v>
      </c>
      <c r="K460" s="600">
        <f>MROUND($E460*(1+$E$677/100)/2*$E$678/100/$G460,0.05)</f>
        <v>64.150000000000006</v>
      </c>
      <c r="L460" s="601">
        <f t="shared" si="306"/>
        <v>173.3</v>
      </c>
      <c r="M460" s="691">
        <f>MROUND($E460*$H460/100/$F460,0.05)</f>
        <v>88.9</v>
      </c>
      <c r="N460" s="650">
        <f t="shared" si="307"/>
        <v>0</v>
      </c>
      <c r="O460" s="601">
        <f t="shared" si="308"/>
        <v>88.9</v>
      </c>
      <c r="P460" s="599">
        <f t="shared" si="309"/>
        <v>262.20000000000005</v>
      </c>
      <c r="Q460" s="69"/>
      <c r="R460" s="69"/>
      <c r="S460" s="69"/>
      <c r="T460" s="903"/>
      <c r="U460" s="208">
        <v>75</v>
      </c>
      <c r="V460" s="69"/>
      <c r="W460" s="69"/>
      <c r="Y460" s="189"/>
    </row>
    <row r="461" spans="1:26">
      <c r="A461" s="156">
        <f t="shared" si="305"/>
        <v>461</v>
      </c>
      <c r="B461" s="262"/>
      <c r="C461" s="726" t="s">
        <v>860</v>
      </c>
      <c r="D461" s="153"/>
      <c r="E461" s="678">
        <v>309000</v>
      </c>
      <c r="F461" s="629">
        <v>2000</v>
      </c>
      <c r="G461" s="629">
        <v>200</v>
      </c>
      <c r="H461" s="630">
        <v>80</v>
      </c>
      <c r="I461" s="594">
        <f>MROUND(E461*(1-$E$677/100)/F461,0.05)</f>
        <v>139.05000000000001</v>
      </c>
      <c r="J461" s="595">
        <f>MROUND($E461*(1+$E$677/100)/2*$E$682/100/$G461,0.05)</f>
        <v>12.75</v>
      </c>
      <c r="K461" s="600">
        <f>MROUND($E461*(1+$E$677/100)/2*$E$678/100/$G461,0.05)</f>
        <v>89.2</v>
      </c>
      <c r="L461" s="601">
        <f t="shared" si="306"/>
        <v>241</v>
      </c>
      <c r="M461" s="691">
        <f>MROUND($E461*$H461/100/$F461,0.05)</f>
        <v>123.60000000000001</v>
      </c>
      <c r="N461" s="650">
        <f t="shared" si="307"/>
        <v>0</v>
      </c>
      <c r="O461" s="601">
        <f t="shared" si="308"/>
        <v>123.60000000000001</v>
      </c>
      <c r="P461" s="599">
        <f t="shared" si="309"/>
        <v>364.6</v>
      </c>
      <c r="Q461" s="69"/>
      <c r="R461" s="69"/>
      <c r="S461" s="69"/>
      <c r="T461" s="903"/>
      <c r="U461" s="208">
        <v>125</v>
      </c>
      <c r="V461" s="69"/>
      <c r="W461" s="69"/>
      <c r="Y461" s="189"/>
    </row>
    <row r="462" spans="1:26">
      <c r="A462" s="156">
        <f t="shared" si="305"/>
        <v>462</v>
      </c>
      <c r="B462" s="262"/>
      <c r="C462" s="726" t="s">
        <v>861</v>
      </c>
      <c r="D462" s="153"/>
      <c r="E462" s="678">
        <v>706500</v>
      </c>
      <c r="F462" s="629">
        <v>2000</v>
      </c>
      <c r="G462" s="629">
        <v>200</v>
      </c>
      <c r="H462" s="630">
        <v>80</v>
      </c>
      <c r="I462" s="594">
        <f>MROUND(E462*(1-$E$677/100)/F462,0.05)</f>
        <v>317.95000000000005</v>
      </c>
      <c r="J462" s="595">
        <f>MROUND($E462*(1+$E$677/100)/2*$E$682/100/$G462,0.05)</f>
        <v>29.150000000000002</v>
      </c>
      <c r="K462" s="600">
        <f>MROUND($E462*(1+$E$677/100)/2*$E$678/100/$G462,0.05)</f>
        <v>204</v>
      </c>
      <c r="L462" s="601">
        <f t="shared" si="306"/>
        <v>551.1</v>
      </c>
      <c r="M462" s="691">
        <f>MROUND($E462*$H462/100/$F462,0.05)</f>
        <v>282.60000000000002</v>
      </c>
      <c r="N462" s="650">
        <f t="shared" si="307"/>
        <v>0</v>
      </c>
      <c r="O462" s="601">
        <f t="shared" si="308"/>
        <v>282.60000000000002</v>
      </c>
      <c r="P462" s="599">
        <f t="shared" si="309"/>
        <v>833.7</v>
      </c>
      <c r="Q462" s="69"/>
      <c r="R462" s="69"/>
      <c r="S462" s="69"/>
      <c r="T462" s="903"/>
      <c r="U462" s="208">
        <v>175</v>
      </c>
      <c r="V462" s="69"/>
      <c r="W462" s="69"/>
      <c r="Y462" s="189"/>
    </row>
    <row r="463" spans="1:26">
      <c r="A463" s="156" t="str">
        <f t="shared" si="305"/>
        <v/>
      </c>
      <c r="C463" s="823"/>
      <c r="D463" s="170"/>
      <c r="E463" s="563"/>
      <c r="F463" s="692"/>
      <c r="G463" s="692"/>
      <c r="H463" s="692"/>
      <c r="I463" s="605"/>
      <c r="J463" s="606"/>
      <c r="K463" s="605"/>
      <c r="L463" s="607"/>
      <c r="M463" s="608"/>
      <c r="N463" s="608"/>
      <c r="O463" s="607"/>
      <c r="P463" s="609"/>
      <c r="U463" s="207"/>
      <c r="Y463" s="189"/>
    </row>
    <row r="464" spans="1:26">
      <c r="A464" s="156" t="str">
        <f t="shared" ref="A464:A499" si="310">IF(ISNUMBER(E464),ROW(),"")</f>
        <v/>
      </c>
      <c r="B464" s="261"/>
      <c r="C464" s="725"/>
      <c r="D464" s="153"/>
      <c r="E464" s="557"/>
      <c r="F464" s="585"/>
      <c r="G464" s="585"/>
      <c r="H464" s="585"/>
      <c r="I464" s="585"/>
      <c r="J464" s="585"/>
      <c r="K464" s="585"/>
      <c r="L464" s="585"/>
      <c r="M464" s="175"/>
      <c r="N464" s="175"/>
      <c r="O464" s="175"/>
      <c r="P464" s="585"/>
      <c r="U464" s="201"/>
      <c r="Y464" s="189"/>
    </row>
    <row r="465" spans="1:26">
      <c r="A465" s="156" t="str">
        <f t="shared" ref="A465" si="311">IF(ISNUMBER(E465),ROW(),"")</f>
        <v/>
      </c>
      <c r="B465" s="263"/>
      <c r="C465" s="828"/>
      <c r="D465" s="829"/>
      <c r="E465" s="564"/>
      <c r="F465" s="174"/>
      <c r="G465" s="174"/>
      <c r="H465" s="174"/>
      <c r="I465" s="174"/>
      <c r="J465" s="174"/>
      <c r="K465" s="174"/>
      <c r="L465" s="174"/>
      <c r="M465" s="174"/>
      <c r="N465" s="174"/>
      <c r="O465" s="174"/>
      <c r="P465" s="174"/>
      <c r="Q465" s="156"/>
      <c r="R465" s="183"/>
      <c r="S465" s="310"/>
      <c r="T465" s="904"/>
      <c r="U465" s="203"/>
      <c r="V465" s="183"/>
      <c r="W465" s="183"/>
      <c r="Y465" s="189"/>
    </row>
    <row r="466" spans="1:26" s="452" customFormat="1" ht="23.25" customHeight="1" thickBot="1">
      <c r="A466" s="31" t="str">
        <f t="shared" si="310"/>
        <v/>
      </c>
      <c r="B466" s="287">
        <f>ROUNDDOWN(MAX($B$8:B465),0)+1</f>
        <v>12</v>
      </c>
      <c r="C466" s="724" t="s">
        <v>465</v>
      </c>
      <c r="D466" s="301"/>
      <c r="E466" s="558"/>
      <c r="F466" s="297"/>
      <c r="G466" s="297"/>
      <c r="H466" s="297"/>
      <c r="I466" s="579"/>
      <c r="J466" s="579"/>
      <c r="K466" s="579"/>
      <c r="L466" s="579"/>
      <c r="M466" s="298"/>
      <c r="N466" s="298"/>
      <c r="O466" s="298"/>
      <c r="P466" s="299"/>
      <c r="Q466" s="158"/>
      <c r="R466" s="158"/>
      <c r="S466" s="158"/>
      <c r="T466" s="902"/>
      <c r="U466" s="305"/>
      <c r="V466" s="158"/>
      <c r="W466" s="158"/>
      <c r="X466" s="159"/>
      <c r="Y466" s="160"/>
      <c r="Z466" s="161"/>
    </row>
    <row r="467" spans="1:26">
      <c r="A467" s="156" t="str">
        <f t="shared" si="310"/>
        <v/>
      </c>
      <c r="B467" s="263"/>
      <c r="C467" s="828"/>
      <c r="D467" s="829"/>
      <c r="E467" s="564"/>
      <c r="F467" s="174"/>
      <c r="G467" s="174"/>
      <c r="H467" s="174"/>
      <c r="I467" s="174"/>
      <c r="J467" s="174"/>
      <c r="K467" s="174"/>
      <c r="L467" s="174"/>
      <c r="M467" s="174"/>
      <c r="N467" s="174"/>
      <c r="O467" s="174"/>
      <c r="P467" s="174"/>
      <c r="Q467" s="155"/>
      <c r="R467" s="183"/>
      <c r="S467" s="310"/>
      <c r="T467" s="904"/>
      <c r="U467" s="203"/>
      <c r="V467" s="183"/>
      <c r="W467" s="183"/>
      <c r="Y467" s="189"/>
    </row>
    <row r="468" spans="1:26" ht="13.5" thickBot="1">
      <c r="A468" s="156" t="str">
        <f t="shared" si="310"/>
        <v/>
      </c>
      <c r="B468" s="266">
        <f>MAX($B$8:B467)+0.01</f>
        <v>12.01</v>
      </c>
      <c r="C468" s="824" t="s">
        <v>633</v>
      </c>
      <c r="D468" s="95"/>
      <c r="E468" s="713"/>
      <c r="F468" s="683"/>
      <c r="G468" s="683"/>
      <c r="H468" s="684"/>
      <c r="I468" s="684"/>
      <c r="J468" s="684"/>
      <c r="K468" s="684"/>
      <c r="L468" s="684"/>
      <c r="M468" s="685"/>
      <c r="N468" s="685"/>
      <c r="O468" s="685"/>
      <c r="P468" s="697" t="s">
        <v>290</v>
      </c>
      <c r="U468" s="204"/>
      <c r="Y468" s="189"/>
    </row>
    <row r="469" spans="1:26">
      <c r="A469" s="156" t="str">
        <f t="shared" si="310"/>
        <v/>
      </c>
      <c r="B469" s="262"/>
      <c r="C469" s="825"/>
      <c r="D469" s="826"/>
      <c r="E469" s="709"/>
      <c r="F469" s="687"/>
      <c r="G469" s="687"/>
      <c r="H469" s="589"/>
      <c r="I469" s="589"/>
      <c r="J469" s="589"/>
      <c r="K469" s="589"/>
      <c r="L469" s="589"/>
      <c r="M469" s="688"/>
      <c r="N469" s="688"/>
      <c r="O469" s="688"/>
      <c r="P469" s="689"/>
      <c r="Q469" s="69"/>
      <c r="R469" s="69"/>
      <c r="S469" s="69"/>
      <c r="T469" s="903"/>
      <c r="U469" s="214" t="s">
        <v>426</v>
      </c>
      <c r="V469" s="69"/>
      <c r="W469" s="69"/>
      <c r="Y469" s="189"/>
    </row>
    <row r="470" spans="1:26" ht="15">
      <c r="A470" s="156" t="str">
        <f t="shared" si="310"/>
        <v/>
      </c>
      <c r="B470" s="262"/>
      <c r="C470" s="727" t="s">
        <v>284</v>
      </c>
      <c r="D470" s="153"/>
      <c r="E470" s="710"/>
      <c r="F470" s="690"/>
      <c r="G470" s="690"/>
      <c r="H470" s="585"/>
      <c r="I470" s="585"/>
      <c r="J470" s="585"/>
      <c r="K470" s="585"/>
      <c r="L470" s="585"/>
      <c r="M470" s="175"/>
      <c r="N470" s="707"/>
      <c r="O470" s="175"/>
      <c r="P470" s="586"/>
      <c r="Q470" s="69"/>
      <c r="R470" s="69"/>
      <c r="S470" s="69"/>
      <c r="T470" s="903"/>
      <c r="U470" s="205"/>
      <c r="V470" s="69"/>
      <c r="W470" s="69"/>
      <c r="Y470" s="189"/>
    </row>
    <row r="471" spans="1:26">
      <c r="A471" s="156">
        <f t="shared" si="310"/>
        <v>471</v>
      </c>
      <c r="B471" s="262"/>
      <c r="C471" s="726" t="s">
        <v>868</v>
      </c>
      <c r="D471" s="153"/>
      <c r="E471" s="678">
        <v>16000</v>
      </c>
      <c r="F471" s="629">
        <v>2000</v>
      </c>
      <c r="G471" s="629">
        <v>200</v>
      </c>
      <c r="H471" s="630">
        <v>120</v>
      </c>
      <c r="I471" s="594">
        <f t="shared" ref="I471:I476" si="312">MROUND(E471*(1-$E$677/100)/F471,0.05)</f>
        <v>7.2</v>
      </c>
      <c r="J471" s="595">
        <f t="shared" ref="J471:J476" si="313">MROUND($E471*(1+$E$677/100)/2*$E$682/100/$G471,0.05)</f>
        <v>0.65</v>
      </c>
      <c r="K471" s="600">
        <f t="shared" ref="K471:K476" si="314">MROUND($E471*(1+$E$677/100)/2*$E$678/100/$G471,0.05)</f>
        <v>4.6000000000000005</v>
      </c>
      <c r="L471" s="601">
        <f t="shared" ref="L471:L476" si="315">SUM(I471:K471)</f>
        <v>12.450000000000001</v>
      </c>
      <c r="M471" s="691">
        <f t="shared" ref="M471:M476" si="316">MROUND($E471*$H471/100/$F471,0.05)</f>
        <v>9.6000000000000014</v>
      </c>
      <c r="N471" s="650">
        <f t="shared" ref="N471:N476" si="317">MROUND(Y471*Z471,0.05)</f>
        <v>0</v>
      </c>
      <c r="O471" s="601">
        <f t="shared" ref="O471:O476" si="318">SUM(M471:N471)</f>
        <v>9.6000000000000014</v>
      </c>
      <c r="P471" s="599">
        <f t="shared" ref="P471:P476" si="319">O471+L471</f>
        <v>22.050000000000004</v>
      </c>
      <c r="Q471" s="69"/>
      <c r="R471" s="69"/>
      <c r="S471" s="69"/>
      <c r="T471" s="903"/>
      <c r="U471" s="208" t="e">
        <f>15*#REF!</f>
        <v>#REF!</v>
      </c>
      <c r="V471" s="69"/>
      <c r="W471" s="69"/>
      <c r="Y471" s="189"/>
    </row>
    <row r="472" spans="1:26">
      <c r="A472" s="156">
        <f t="shared" si="310"/>
        <v>472</v>
      </c>
      <c r="B472" s="262"/>
      <c r="C472" s="726" t="s">
        <v>869</v>
      </c>
      <c r="D472" s="153"/>
      <c r="E472" s="678">
        <v>19750</v>
      </c>
      <c r="F472" s="629">
        <v>2000</v>
      </c>
      <c r="G472" s="629">
        <v>200</v>
      </c>
      <c r="H472" s="630">
        <v>120</v>
      </c>
      <c r="I472" s="594">
        <f t="shared" si="312"/>
        <v>8.9</v>
      </c>
      <c r="J472" s="595">
        <f t="shared" si="313"/>
        <v>0.8</v>
      </c>
      <c r="K472" s="600">
        <f t="shared" si="314"/>
        <v>5.7</v>
      </c>
      <c r="L472" s="601">
        <f t="shared" si="315"/>
        <v>15.400000000000002</v>
      </c>
      <c r="M472" s="691">
        <f t="shared" si="316"/>
        <v>11.850000000000001</v>
      </c>
      <c r="N472" s="650">
        <f t="shared" si="317"/>
        <v>0</v>
      </c>
      <c r="O472" s="601">
        <f t="shared" si="318"/>
        <v>11.850000000000001</v>
      </c>
      <c r="P472" s="599">
        <f t="shared" si="319"/>
        <v>27.250000000000004</v>
      </c>
      <c r="Q472" s="69"/>
      <c r="R472" s="69"/>
      <c r="S472" s="69"/>
      <c r="T472" s="903"/>
      <c r="U472" s="208" t="e">
        <f>15*#REF!</f>
        <v>#REF!</v>
      </c>
      <c r="V472" s="69"/>
      <c r="W472" s="69"/>
      <c r="Y472" s="189"/>
    </row>
    <row r="473" spans="1:26">
      <c r="A473" s="156">
        <f t="shared" si="310"/>
        <v>473</v>
      </c>
      <c r="B473" s="262"/>
      <c r="C473" s="726" t="s">
        <v>870</v>
      </c>
      <c r="D473" s="153"/>
      <c r="E473" s="678">
        <v>24750</v>
      </c>
      <c r="F473" s="629">
        <v>2000</v>
      </c>
      <c r="G473" s="629">
        <v>200</v>
      </c>
      <c r="H473" s="630">
        <v>120</v>
      </c>
      <c r="I473" s="594">
        <f t="shared" si="312"/>
        <v>11.15</v>
      </c>
      <c r="J473" s="595">
        <f t="shared" si="313"/>
        <v>1</v>
      </c>
      <c r="K473" s="600">
        <f t="shared" si="314"/>
        <v>7.15</v>
      </c>
      <c r="L473" s="601">
        <f t="shared" si="315"/>
        <v>19.3</v>
      </c>
      <c r="M473" s="691">
        <f t="shared" si="316"/>
        <v>14.850000000000001</v>
      </c>
      <c r="N473" s="650">
        <f t="shared" si="317"/>
        <v>0</v>
      </c>
      <c r="O473" s="601">
        <f t="shared" si="318"/>
        <v>14.850000000000001</v>
      </c>
      <c r="P473" s="599">
        <f t="shared" si="319"/>
        <v>34.150000000000006</v>
      </c>
      <c r="Q473" s="69"/>
      <c r="R473" s="69"/>
      <c r="S473" s="69"/>
      <c r="T473" s="903"/>
      <c r="U473" s="208" t="e">
        <f>15*#REF!</f>
        <v>#REF!</v>
      </c>
      <c r="V473" s="69"/>
      <c r="W473" s="69"/>
      <c r="Y473" s="189"/>
      <c r="Z473" s="69"/>
    </row>
    <row r="474" spans="1:26">
      <c r="A474" s="156">
        <f t="shared" si="310"/>
        <v>474</v>
      </c>
      <c r="B474" s="262"/>
      <c r="C474" s="726" t="s">
        <v>871</v>
      </c>
      <c r="D474" s="153"/>
      <c r="E474" s="678">
        <v>41750</v>
      </c>
      <c r="F474" s="629">
        <v>2000</v>
      </c>
      <c r="G474" s="629">
        <v>200</v>
      </c>
      <c r="H474" s="630">
        <v>120</v>
      </c>
      <c r="I474" s="594">
        <f t="shared" si="312"/>
        <v>18.8</v>
      </c>
      <c r="J474" s="595">
        <f t="shared" si="313"/>
        <v>1.7000000000000002</v>
      </c>
      <c r="K474" s="600">
        <f t="shared" si="314"/>
        <v>12.05</v>
      </c>
      <c r="L474" s="601">
        <f t="shared" si="315"/>
        <v>32.549999999999997</v>
      </c>
      <c r="M474" s="691">
        <f t="shared" si="316"/>
        <v>25.05</v>
      </c>
      <c r="N474" s="650">
        <f t="shared" si="317"/>
        <v>0</v>
      </c>
      <c r="O474" s="601">
        <f t="shared" si="318"/>
        <v>25.05</v>
      </c>
      <c r="P474" s="599">
        <f t="shared" si="319"/>
        <v>57.599999999999994</v>
      </c>
      <c r="Q474" s="69"/>
      <c r="R474" s="69"/>
      <c r="S474" s="69"/>
      <c r="T474" s="903"/>
      <c r="U474" s="208" t="e">
        <f>15*#REF!</f>
        <v>#REF!</v>
      </c>
      <c r="V474" s="69"/>
      <c r="W474" s="69"/>
      <c r="Y474" s="189"/>
      <c r="Z474" s="69"/>
    </row>
    <row r="475" spans="1:26">
      <c r="A475" s="156">
        <f t="shared" si="310"/>
        <v>475</v>
      </c>
      <c r="B475" s="262"/>
      <c r="C475" s="726" t="s">
        <v>872</v>
      </c>
      <c r="D475" s="153"/>
      <c r="E475" s="678">
        <v>48500</v>
      </c>
      <c r="F475" s="629">
        <v>2000</v>
      </c>
      <c r="G475" s="629">
        <v>200</v>
      </c>
      <c r="H475" s="630">
        <v>120</v>
      </c>
      <c r="I475" s="594">
        <f t="shared" si="312"/>
        <v>21.8</v>
      </c>
      <c r="J475" s="595">
        <f t="shared" si="313"/>
        <v>2</v>
      </c>
      <c r="K475" s="600">
        <f t="shared" si="314"/>
        <v>14</v>
      </c>
      <c r="L475" s="601">
        <f t="shared" si="315"/>
        <v>37.799999999999997</v>
      </c>
      <c r="M475" s="691">
        <f t="shared" si="316"/>
        <v>29.1</v>
      </c>
      <c r="N475" s="650">
        <f t="shared" si="317"/>
        <v>0</v>
      </c>
      <c r="O475" s="601">
        <f t="shared" si="318"/>
        <v>29.1</v>
      </c>
      <c r="P475" s="599">
        <f t="shared" si="319"/>
        <v>66.900000000000006</v>
      </c>
      <c r="Q475" s="69"/>
      <c r="R475" s="69"/>
      <c r="S475" s="69"/>
      <c r="T475" s="903"/>
      <c r="U475" s="208" t="e">
        <f>15*#REF!</f>
        <v>#REF!</v>
      </c>
      <c r="V475" s="69"/>
      <c r="W475" s="69"/>
      <c r="Y475" s="189"/>
      <c r="Z475" s="69"/>
    </row>
    <row r="476" spans="1:26">
      <c r="A476" s="156">
        <f t="shared" si="310"/>
        <v>476</v>
      </c>
      <c r="B476" s="262"/>
      <c r="C476" s="726" t="s">
        <v>873</v>
      </c>
      <c r="D476" s="153"/>
      <c r="E476" s="678">
        <v>63500</v>
      </c>
      <c r="F476" s="629">
        <v>2000</v>
      </c>
      <c r="G476" s="629">
        <v>200</v>
      </c>
      <c r="H476" s="630">
        <v>120</v>
      </c>
      <c r="I476" s="594">
        <f t="shared" si="312"/>
        <v>28.6</v>
      </c>
      <c r="J476" s="595">
        <f t="shared" si="313"/>
        <v>2.6</v>
      </c>
      <c r="K476" s="600">
        <f t="shared" si="314"/>
        <v>18.350000000000001</v>
      </c>
      <c r="L476" s="601">
        <f t="shared" si="315"/>
        <v>49.550000000000004</v>
      </c>
      <c r="M476" s="691">
        <f t="shared" si="316"/>
        <v>38.1</v>
      </c>
      <c r="N476" s="650">
        <f t="shared" si="317"/>
        <v>0</v>
      </c>
      <c r="O476" s="601">
        <f t="shared" si="318"/>
        <v>38.1</v>
      </c>
      <c r="P476" s="599">
        <f t="shared" si="319"/>
        <v>87.65</v>
      </c>
      <c r="Q476" s="69"/>
      <c r="R476" s="69"/>
      <c r="S476" s="69"/>
      <c r="T476" s="903"/>
      <c r="U476" s="208" t="e">
        <f>15*#REF!</f>
        <v>#REF!</v>
      </c>
      <c r="V476" s="69"/>
      <c r="W476" s="69"/>
      <c r="Y476" s="189"/>
      <c r="Z476" s="69"/>
    </row>
    <row r="477" spans="1:26">
      <c r="A477" s="156" t="str">
        <f t="shared" si="310"/>
        <v/>
      </c>
      <c r="B477" s="262"/>
      <c r="C477" s="820"/>
      <c r="D477" s="153"/>
      <c r="E477" s="790"/>
      <c r="F477" s="690"/>
      <c r="G477" s="690"/>
      <c r="H477" s="585"/>
      <c r="I477" s="585"/>
      <c r="J477" s="585"/>
      <c r="K477" s="585"/>
      <c r="L477" s="585"/>
      <c r="M477" s="175"/>
      <c r="N477" s="175"/>
      <c r="O477" s="175"/>
      <c r="P477" s="586"/>
      <c r="Q477" s="69"/>
      <c r="R477" s="69"/>
      <c r="S477" s="69"/>
      <c r="T477" s="903"/>
      <c r="U477" s="205"/>
      <c r="V477" s="69"/>
      <c r="W477" s="69"/>
      <c r="Y477" s="189"/>
      <c r="Z477" s="69"/>
    </row>
    <row r="478" spans="1:26">
      <c r="A478" s="156" t="str">
        <f t="shared" si="310"/>
        <v/>
      </c>
      <c r="B478" s="262"/>
      <c r="C478" s="727" t="s">
        <v>632</v>
      </c>
      <c r="D478" s="153"/>
      <c r="E478" s="790"/>
      <c r="F478" s="690"/>
      <c r="G478" s="690"/>
      <c r="H478" s="585"/>
      <c r="I478" s="585"/>
      <c r="J478" s="585"/>
      <c r="K478" s="585"/>
      <c r="L478" s="585"/>
      <c r="M478" s="175"/>
      <c r="N478" s="175"/>
      <c r="O478" s="175"/>
      <c r="P478" s="586"/>
      <c r="Q478" s="69"/>
      <c r="R478" s="69"/>
      <c r="S478" s="69"/>
      <c r="T478" s="903"/>
      <c r="U478" s="205"/>
      <c r="V478" s="69"/>
      <c r="W478" s="69"/>
      <c r="Y478" s="189"/>
      <c r="Z478" s="69"/>
    </row>
    <row r="479" spans="1:26">
      <c r="A479" s="156">
        <f t="shared" si="310"/>
        <v>479</v>
      </c>
      <c r="B479" s="262"/>
      <c r="C479" s="726" t="s">
        <v>874</v>
      </c>
      <c r="D479" s="153"/>
      <c r="E479" s="678">
        <v>137500</v>
      </c>
      <c r="F479" s="629">
        <v>2000</v>
      </c>
      <c r="G479" s="629">
        <v>200</v>
      </c>
      <c r="H479" s="630">
        <v>120</v>
      </c>
      <c r="I479" s="594">
        <f>MROUND(E479*(1-$E$677/100)/F479,0.05)</f>
        <v>61.900000000000006</v>
      </c>
      <c r="J479" s="595">
        <f>MROUND($E479*(1+$E$677/100)/2*$E$682/100/$G479,0.05)</f>
        <v>5.65</v>
      </c>
      <c r="K479" s="600">
        <f>MROUND($E479*(1+$E$677/100)/2*$E$678/100/$G479,0.05)</f>
        <v>39.700000000000003</v>
      </c>
      <c r="L479" s="601">
        <f t="shared" ref="L479:L482" si="320">SUM(I479:K479)</f>
        <v>107.25000000000001</v>
      </c>
      <c r="M479" s="691">
        <f>MROUND($E479*$H479/100/$F479,0.05)</f>
        <v>82.5</v>
      </c>
      <c r="N479" s="650">
        <f t="shared" ref="N479:N482" si="321">MROUND(Y479*Z479,0.05)</f>
        <v>0</v>
      </c>
      <c r="O479" s="601">
        <f t="shared" ref="O479:O482" si="322">SUM(M479:N479)</f>
        <v>82.5</v>
      </c>
      <c r="P479" s="599">
        <f t="shared" ref="P479:P482" si="323">O479+L479</f>
        <v>189.75</v>
      </c>
      <c r="Q479" s="69"/>
      <c r="R479" s="69"/>
      <c r="S479" s="69"/>
      <c r="T479" s="903"/>
      <c r="U479" s="208" t="e">
        <f>15*#REF!</f>
        <v>#REF!</v>
      </c>
      <c r="V479" s="69"/>
      <c r="W479" s="69"/>
      <c r="Y479" s="189"/>
      <c r="Z479" s="69"/>
    </row>
    <row r="480" spans="1:26">
      <c r="A480" s="310">
        <f t="shared" ref="A480" si="324">IF(ISNUMBER(E480),ROW(),"")</f>
        <v>480</v>
      </c>
      <c r="B480" s="262"/>
      <c r="C480" s="726" t="s">
        <v>875</v>
      </c>
      <c r="D480" s="153"/>
      <c r="E480" s="678">
        <v>169750</v>
      </c>
      <c r="F480" s="629">
        <v>2000</v>
      </c>
      <c r="G480" s="629">
        <v>200</v>
      </c>
      <c r="H480" s="630">
        <v>120</v>
      </c>
      <c r="I480" s="594">
        <f>MROUND(E480*(1-$E$677/100)/F480,0.05)</f>
        <v>76.400000000000006</v>
      </c>
      <c r="J480" s="595">
        <f>MROUND($E480*(1+$E$677/100)/2*$E$682/100/$G480,0.05)</f>
        <v>7</v>
      </c>
      <c r="K480" s="600">
        <f>MROUND($E480*(1+$E$677/100)/2*$E$678/100/$G480,0.05)</f>
        <v>49</v>
      </c>
      <c r="L480" s="601">
        <f t="shared" si="320"/>
        <v>132.4</v>
      </c>
      <c r="M480" s="691">
        <f>MROUND($E480*$H480/100/$F480,0.05)</f>
        <v>101.85000000000001</v>
      </c>
      <c r="N480" s="650">
        <f t="shared" si="321"/>
        <v>0</v>
      </c>
      <c r="O480" s="601">
        <f t="shared" si="322"/>
        <v>101.85000000000001</v>
      </c>
      <c r="P480" s="599">
        <f t="shared" si="323"/>
        <v>234.25</v>
      </c>
      <c r="Q480" s="69"/>
      <c r="R480" s="69"/>
      <c r="S480" s="69"/>
      <c r="T480" s="903"/>
      <c r="U480" s="208" t="e">
        <f>15*#REF!</f>
        <v>#REF!</v>
      </c>
      <c r="V480" s="69"/>
      <c r="W480" s="69"/>
      <c r="Y480" s="442"/>
      <c r="Z480" s="69"/>
    </row>
    <row r="481" spans="1:26">
      <c r="A481" s="156">
        <f t="shared" si="310"/>
        <v>481</v>
      </c>
      <c r="B481" s="262"/>
      <c r="C481" s="726" t="s">
        <v>876</v>
      </c>
      <c r="D481" s="153"/>
      <c r="E481" s="678">
        <v>309250</v>
      </c>
      <c r="F481" s="629">
        <v>2000</v>
      </c>
      <c r="G481" s="629">
        <v>200</v>
      </c>
      <c r="H481" s="630">
        <v>120</v>
      </c>
      <c r="I481" s="594">
        <f>MROUND(E481*(1-$E$677/100)/F481,0.05)</f>
        <v>139.15</v>
      </c>
      <c r="J481" s="595">
        <f>MROUND($E481*(1+$E$677/100)/2*$E$682/100/$G481,0.05)</f>
        <v>12.75</v>
      </c>
      <c r="K481" s="600">
        <f>MROUND($E481*(1+$E$677/100)/2*$E$678/100/$G481,0.05)</f>
        <v>89.300000000000011</v>
      </c>
      <c r="L481" s="601">
        <f t="shared" si="320"/>
        <v>241.20000000000002</v>
      </c>
      <c r="M481" s="691">
        <f>MROUND($E481*$H481/100/$F481,0.05)</f>
        <v>185.55</v>
      </c>
      <c r="N481" s="650">
        <f t="shared" si="321"/>
        <v>0</v>
      </c>
      <c r="O481" s="601">
        <f t="shared" si="322"/>
        <v>185.55</v>
      </c>
      <c r="P481" s="599">
        <f t="shared" si="323"/>
        <v>426.75</v>
      </c>
      <c r="Q481" s="69"/>
      <c r="R481" s="69"/>
      <c r="S481" s="69"/>
      <c r="T481" s="903"/>
      <c r="U481" s="208" t="e">
        <f>15*#REF!</f>
        <v>#REF!</v>
      </c>
      <c r="V481" s="69"/>
      <c r="W481" s="69"/>
      <c r="Y481" s="189"/>
      <c r="Z481" s="69"/>
    </row>
    <row r="482" spans="1:26">
      <c r="A482" s="156">
        <f t="shared" si="310"/>
        <v>482</v>
      </c>
      <c r="B482" s="262"/>
      <c r="C482" s="726" t="s">
        <v>867</v>
      </c>
      <c r="D482" s="153"/>
      <c r="E482" s="678">
        <v>494000</v>
      </c>
      <c r="F482" s="629">
        <v>2000</v>
      </c>
      <c r="G482" s="629">
        <v>200</v>
      </c>
      <c r="H482" s="630">
        <v>120</v>
      </c>
      <c r="I482" s="594">
        <f>MROUND(E482*(1-$E$677/100)/F482,0.05)</f>
        <v>222.3</v>
      </c>
      <c r="J482" s="595">
        <f>MROUND($E482*(1+$E$677/100)/2*$E$682/100/$G482,0.05)</f>
        <v>20.400000000000002</v>
      </c>
      <c r="K482" s="600">
        <f>MROUND($E482*(1+$E$677/100)/2*$E$678/100/$G482,0.05)</f>
        <v>142.65</v>
      </c>
      <c r="L482" s="601">
        <f t="shared" si="320"/>
        <v>385.35</v>
      </c>
      <c r="M482" s="691">
        <f>MROUND($E482*$H482/100/$F482,0.05)</f>
        <v>296.40000000000003</v>
      </c>
      <c r="N482" s="650">
        <f t="shared" si="321"/>
        <v>0</v>
      </c>
      <c r="O482" s="601">
        <f t="shared" si="322"/>
        <v>296.40000000000003</v>
      </c>
      <c r="P482" s="599">
        <f t="shared" si="323"/>
        <v>681.75</v>
      </c>
      <c r="Q482" s="69"/>
      <c r="R482" s="69"/>
      <c r="S482" s="69"/>
      <c r="T482" s="903"/>
      <c r="U482" s="208" t="e">
        <f>15*#REF!</f>
        <v>#REF!</v>
      </c>
      <c r="V482" s="69"/>
      <c r="W482" s="69"/>
      <c r="Y482" s="189"/>
      <c r="Z482" s="69"/>
    </row>
    <row r="483" spans="1:26">
      <c r="A483" s="156" t="str">
        <f t="shared" si="310"/>
        <v/>
      </c>
      <c r="C483" s="823"/>
      <c r="D483" s="170"/>
      <c r="E483" s="563"/>
      <c r="F483" s="692"/>
      <c r="G483" s="692"/>
      <c r="H483" s="692"/>
      <c r="I483" s="605"/>
      <c r="J483" s="606"/>
      <c r="K483" s="605"/>
      <c r="L483" s="607"/>
      <c r="M483" s="608"/>
      <c r="N483" s="608"/>
      <c r="O483" s="607"/>
      <c r="P483" s="609"/>
      <c r="U483" s="207"/>
      <c r="Y483" s="189"/>
      <c r="Z483" s="69"/>
    </row>
    <row r="484" spans="1:26">
      <c r="A484" s="156" t="str">
        <f t="shared" si="310"/>
        <v/>
      </c>
      <c r="B484" s="263"/>
      <c r="C484" s="828"/>
      <c r="D484" s="829"/>
      <c r="E484" s="564"/>
      <c r="F484" s="174"/>
      <c r="G484" s="174"/>
      <c r="H484" s="174"/>
      <c r="I484" s="174"/>
      <c r="J484" s="174"/>
      <c r="K484" s="174"/>
      <c r="L484" s="174"/>
      <c r="M484" s="174"/>
      <c r="N484" s="174"/>
      <c r="O484" s="174"/>
      <c r="P484" s="174"/>
      <c r="Q484" s="155"/>
      <c r="R484" s="183"/>
      <c r="S484" s="310"/>
      <c r="T484" s="904"/>
      <c r="U484" s="203"/>
      <c r="V484" s="183"/>
      <c r="W484" s="183"/>
      <c r="Y484" s="189"/>
      <c r="Z484" s="69"/>
    </row>
    <row r="485" spans="1:26" ht="13.5" thickBot="1">
      <c r="A485" s="156" t="str">
        <f t="shared" si="310"/>
        <v/>
      </c>
      <c r="B485" s="266">
        <f>MAX($B$8:B484)+0.01</f>
        <v>12.02</v>
      </c>
      <c r="C485" s="824" t="s">
        <v>1102</v>
      </c>
      <c r="D485" s="95"/>
      <c r="E485" s="713"/>
      <c r="F485" s="683"/>
      <c r="G485" s="683"/>
      <c r="H485" s="684"/>
      <c r="I485" s="684"/>
      <c r="J485" s="684"/>
      <c r="K485" s="684"/>
      <c r="L485" s="684"/>
      <c r="M485" s="685"/>
      <c r="N485" s="685"/>
      <c r="O485" s="685"/>
      <c r="P485" s="697" t="s">
        <v>291</v>
      </c>
      <c r="U485" s="204"/>
      <c r="Y485" s="189"/>
      <c r="Z485" s="69"/>
    </row>
    <row r="486" spans="1:26">
      <c r="A486" s="156" t="str">
        <f t="shared" si="310"/>
        <v/>
      </c>
      <c r="B486" s="262"/>
      <c r="C486" s="825"/>
      <c r="D486" s="826"/>
      <c r="E486" s="709"/>
      <c r="F486" s="687"/>
      <c r="G486" s="687"/>
      <c r="H486" s="589"/>
      <c r="I486" s="589"/>
      <c r="J486" s="589"/>
      <c r="K486" s="589"/>
      <c r="L486" s="589"/>
      <c r="M486" s="688"/>
      <c r="N486" s="688"/>
      <c r="O486" s="688"/>
      <c r="P486" s="689"/>
      <c r="Q486" s="69"/>
      <c r="R486" s="69"/>
      <c r="S486" s="69"/>
      <c r="T486" s="903"/>
      <c r="U486" s="214" t="s">
        <v>426</v>
      </c>
      <c r="V486" s="69"/>
      <c r="W486" s="69"/>
      <c r="Y486" s="189"/>
      <c r="Z486" s="69"/>
    </row>
    <row r="487" spans="1:26">
      <c r="A487" s="310"/>
      <c r="B487" s="262"/>
      <c r="C487" s="820" t="s">
        <v>631</v>
      </c>
      <c r="D487" s="153"/>
      <c r="E487" s="710"/>
      <c r="F487" s="690"/>
      <c r="G487" s="690"/>
      <c r="H487" s="585"/>
      <c r="I487" s="585"/>
      <c r="J487" s="585"/>
      <c r="K487" s="585"/>
      <c r="L487" s="585"/>
      <c r="M487" s="175"/>
      <c r="N487" s="175"/>
      <c r="O487" s="175"/>
      <c r="P487" s="586"/>
      <c r="Q487" s="69"/>
      <c r="R487" s="69"/>
      <c r="S487" s="69"/>
      <c r="T487" s="903"/>
      <c r="U487" s="214"/>
      <c r="V487" s="69"/>
      <c r="W487" s="69"/>
      <c r="Y487" s="442"/>
      <c r="Z487" s="69"/>
    </row>
    <row r="488" spans="1:26">
      <c r="A488" s="310"/>
      <c r="B488" s="262"/>
      <c r="C488" s="820"/>
      <c r="D488" s="153"/>
      <c r="E488" s="710"/>
      <c r="F488" s="690"/>
      <c r="G488" s="690"/>
      <c r="H488" s="585"/>
      <c r="I488" s="585"/>
      <c r="J488" s="585"/>
      <c r="K488" s="585"/>
      <c r="L488" s="585"/>
      <c r="M488" s="175"/>
      <c r="N488" s="175"/>
      <c r="O488" s="175"/>
      <c r="P488" s="586"/>
      <c r="Q488" s="69"/>
      <c r="R488" s="69"/>
      <c r="S488" s="69"/>
      <c r="T488" s="903"/>
      <c r="U488" s="214"/>
      <c r="V488" s="69"/>
      <c r="W488" s="69"/>
      <c r="Y488" s="442"/>
      <c r="Z488" s="69"/>
    </row>
    <row r="489" spans="1:26" ht="15">
      <c r="A489" s="310" t="str">
        <f t="shared" ref="A489" si="325">IF(ISNUMBER(E489),ROW(),"")</f>
        <v/>
      </c>
      <c r="B489" s="262"/>
      <c r="C489" s="727" t="s">
        <v>284</v>
      </c>
      <c r="D489" s="153"/>
      <c r="E489" s="710"/>
      <c r="F489" s="690"/>
      <c r="G489" s="690"/>
      <c r="H489" s="585"/>
      <c r="I489" s="585"/>
      <c r="J489" s="585"/>
      <c r="K489" s="585"/>
      <c r="L489" s="585"/>
      <c r="M489" s="175"/>
      <c r="N489" s="707"/>
      <c r="O489" s="175"/>
      <c r="P489" s="586"/>
      <c r="Q489" s="69"/>
      <c r="R489" s="69"/>
      <c r="S489" s="69"/>
      <c r="T489" s="903"/>
      <c r="U489" s="205"/>
      <c r="V489" s="69"/>
      <c r="W489" s="69"/>
      <c r="Y489" s="442"/>
    </row>
    <row r="490" spans="1:26">
      <c r="A490" s="156">
        <f>IF(ISNUMBER(E490),ROW(),"")</f>
        <v>490</v>
      </c>
      <c r="B490" s="262"/>
      <c r="C490" s="726" t="s">
        <v>862</v>
      </c>
      <c r="D490" s="153"/>
      <c r="E490" s="678">
        <v>93000</v>
      </c>
      <c r="F490" s="629">
        <v>2000</v>
      </c>
      <c r="G490" s="629">
        <v>200</v>
      </c>
      <c r="H490" s="630">
        <v>120</v>
      </c>
      <c r="I490" s="594">
        <f>MROUND(E490*(1-$E$677/100)/F490,0.05)</f>
        <v>41.85</v>
      </c>
      <c r="J490" s="595">
        <f>MROUND($E490*(1+$E$677/100)/2*$E$682/100/$G490,0.05)</f>
        <v>3.85</v>
      </c>
      <c r="K490" s="600">
        <f>MROUND($E490*(1+$E$677/100)/2*$E$678/100/$G490,0.05)</f>
        <v>26.85</v>
      </c>
      <c r="L490" s="601">
        <f t="shared" ref="L490:L494" si="326">SUM(I490:K490)</f>
        <v>72.550000000000011</v>
      </c>
      <c r="M490" s="691">
        <f>MROUND($E490*$H490/100/$F490,0.05)</f>
        <v>55.800000000000004</v>
      </c>
      <c r="N490" s="650">
        <f t="shared" ref="N490:N494" si="327">MROUND(Y490*Z490,0.05)</f>
        <v>0</v>
      </c>
      <c r="O490" s="601">
        <f t="shared" ref="O490:O494" si="328">SUM(M490:N490)</f>
        <v>55.800000000000004</v>
      </c>
      <c r="P490" s="599">
        <f t="shared" ref="P490:P494" si="329">O490+L490</f>
        <v>128.35000000000002</v>
      </c>
      <c r="Q490" s="69"/>
      <c r="R490" s="69"/>
      <c r="S490" s="69"/>
      <c r="T490" s="903"/>
      <c r="U490" s="208" t="e">
        <f>15*#REF!</f>
        <v>#REF!</v>
      </c>
      <c r="V490" s="69"/>
      <c r="W490" s="69"/>
      <c r="Y490" s="189"/>
    </row>
    <row r="491" spans="1:26">
      <c r="A491" s="156">
        <f>IF(ISNUMBER(E491),ROW(),"")</f>
        <v>491</v>
      </c>
      <c r="B491" s="262"/>
      <c r="C491" s="726" t="s">
        <v>863</v>
      </c>
      <c r="D491" s="153"/>
      <c r="E491" s="678">
        <v>86500</v>
      </c>
      <c r="F491" s="629">
        <v>2000</v>
      </c>
      <c r="G491" s="629">
        <v>200</v>
      </c>
      <c r="H491" s="630">
        <v>120</v>
      </c>
      <c r="I491" s="594">
        <f>MROUND(E491*(1-$E$677/100)/F491,0.05)</f>
        <v>38.900000000000006</v>
      </c>
      <c r="J491" s="595">
        <f>MROUND($E491*(1+$E$677/100)/2*$E$682/100/$G491,0.05)</f>
        <v>3.5500000000000003</v>
      </c>
      <c r="K491" s="600">
        <f>MROUND($E491*(1+$E$677/100)/2*$E$678/100/$G491,0.05)</f>
        <v>25</v>
      </c>
      <c r="L491" s="601">
        <f t="shared" si="326"/>
        <v>67.45</v>
      </c>
      <c r="M491" s="691">
        <f>MROUND($E491*$H491/100/$F491,0.05)</f>
        <v>51.900000000000006</v>
      </c>
      <c r="N491" s="650">
        <f t="shared" si="327"/>
        <v>0</v>
      </c>
      <c r="O491" s="601">
        <f t="shared" si="328"/>
        <v>51.900000000000006</v>
      </c>
      <c r="P491" s="599">
        <f t="shared" si="329"/>
        <v>119.35000000000001</v>
      </c>
      <c r="Q491" s="69"/>
      <c r="R491" s="69"/>
      <c r="S491" s="69"/>
      <c r="T491" s="903"/>
      <c r="U491" s="208" t="e">
        <f>15*#REF!</f>
        <v>#REF!</v>
      </c>
      <c r="V491" s="69"/>
      <c r="W491" s="69"/>
      <c r="Y491" s="189"/>
    </row>
    <row r="492" spans="1:26">
      <c r="A492" s="156">
        <f>IF(ISNUMBER(E492),ROW(),"")</f>
        <v>492</v>
      </c>
      <c r="B492" s="262"/>
      <c r="C492" s="726" t="s">
        <v>864</v>
      </c>
      <c r="D492" s="153"/>
      <c r="E492" s="678">
        <v>142000</v>
      </c>
      <c r="F492" s="629">
        <v>2000</v>
      </c>
      <c r="G492" s="629">
        <v>200</v>
      </c>
      <c r="H492" s="630">
        <v>120</v>
      </c>
      <c r="I492" s="594">
        <f>MROUND(E492*(1-$E$677/100)/F492,0.05)</f>
        <v>63.900000000000006</v>
      </c>
      <c r="J492" s="595">
        <f>MROUND($E492*(1+$E$677/100)/2*$E$682/100/$G492,0.05)</f>
        <v>5.8500000000000005</v>
      </c>
      <c r="K492" s="600">
        <f>MROUND($E492*(1+$E$677/100)/2*$E$678/100/$G492,0.05)</f>
        <v>41</v>
      </c>
      <c r="L492" s="601">
        <f t="shared" si="326"/>
        <v>110.75</v>
      </c>
      <c r="M492" s="691">
        <f>MROUND($E492*$H492/100/$F492,0.05)</f>
        <v>85.2</v>
      </c>
      <c r="N492" s="650">
        <f t="shared" si="327"/>
        <v>0</v>
      </c>
      <c r="O492" s="601">
        <f t="shared" si="328"/>
        <v>85.2</v>
      </c>
      <c r="P492" s="599">
        <f t="shared" si="329"/>
        <v>195.95</v>
      </c>
      <c r="Q492" s="69"/>
      <c r="R492" s="69"/>
      <c r="S492" s="69"/>
      <c r="T492" s="903"/>
      <c r="U492" s="208" t="e">
        <f>15*#REF!</f>
        <v>#REF!</v>
      </c>
      <c r="V492" s="69"/>
      <c r="W492" s="69"/>
      <c r="Y492" s="189"/>
    </row>
    <row r="493" spans="1:26">
      <c r="A493" s="310">
        <f t="shared" ref="A493:A494" si="330">IF(ISNUMBER(E493),ROW(),"")</f>
        <v>493</v>
      </c>
      <c r="B493" s="262"/>
      <c r="C493" s="726" t="s">
        <v>865</v>
      </c>
      <c r="D493" s="153"/>
      <c r="E493" s="678">
        <v>146500</v>
      </c>
      <c r="F493" s="629">
        <v>2000</v>
      </c>
      <c r="G493" s="629">
        <v>200</v>
      </c>
      <c r="H493" s="630">
        <v>120</v>
      </c>
      <c r="I493" s="594">
        <f>MROUND(E493*(1-$E$677/100)/F493,0.05)</f>
        <v>65.900000000000006</v>
      </c>
      <c r="J493" s="595">
        <f>MROUND($E493*(1+$E$677/100)/2*$E$682/100/$G493,0.05)</f>
        <v>6.0500000000000007</v>
      </c>
      <c r="K493" s="600">
        <f>MROUND($E493*(1+$E$677/100)/2*$E$678/100/$G493,0.05)</f>
        <v>42.300000000000004</v>
      </c>
      <c r="L493" s="601">
        <f t="shared" si="326"/>
        <v>114.25</v>
      </c>
      <c r="M493" s="691">
        <f>MROUND($E493*$H493/100/$F493,0.05)</f>
        <v>87.9</v>
      </c>
      <c r="N493" s="650">
        <f t="shared" si="327"/>
        <v>0</v>
      </c>
      <c r="O493" s="601">
        <f t="shared" si="328"/>
        <v>87.9</v>
      </c>
      <c r="P493" s="599">
        <f t="shared" si="329"/>
        <v>202.15</v>
      </c>
      <c r="Q493" s="69"/>
      <c r="R493" s="69"/>
      <c r="S493" s="69"/>
      <c r="T493" s="903"/>
      <c r="U493" s="208" t="e">
        <f>15*#REF!</f>
        <v>#REF!</v>
      </c>
      <c r="V493" s="69"/>
      <c r="W493" s="69"/>
      <c r="Y493" s="442"/>
    </row>
    <row r="494" spans="1:26">
      <c r="A494" s="310">
        <f t="shared" si="330"/>
        <v>494</v>
      </c>
      <c r="B494" s="262"/>
      <c r="C494" s="726" t="s">
        <v>866</v>
      </c>
      <c r="D494" s="153"/>
      <c r="E494" s="678">
        <v>411000</v>
      </c>
      <c r="F494" s="629">
        <v>2000</v>
      </c>
      <c r="G494" s="629">
        <v>200</v>
      </c>
      <c r="H494" s="630">
        <v>120</v>
      </c>
      <c r="I494" s="594">
        <f>MROUND(E494*(1-$E$677/100)/F494,0.05)</f>
        <v>184.95000000000002</v>
      </c>
      <c r="J494" s="595">
        <f>MROUND($E494*(1+$E$677/100)/2*$E$682/100/$G494,0.05)</f>
        <v>16.95</v>
      </c>
      <c r="K494" s="600">
        <f>MROUND($E494*(1+$E$677/100)/2*$E$678/100/$G494,0.05)</f>
        <v>118.7</v>
      </c>
      <c r="L494" s="601">
        <f t="shared" si="326"/>
        <v>320.60000000000002</v>
      </c>
      <c r="M494" s="691">
        <f>MROUND($E494*$H494/100/$F494,0.05)</f>
        <v>246.60000000000002</v>
      </c>
      <c r="N494" s="650">
        <f t="shared" si="327"/>
        <v>0</v>
      </c>
      <c r="O494" s="601">
        <f t="shared" si="328"/>
        <v>246.60000000000002</v>
      </c>
      <c r="P494" s="599">
        <f t="shared" si="329"/>
        <v>567.20000000000005</v>
      </c>
      <c r="Q494" s="69"/>
      <c r="R494" s="69"/>
      <c r="S494" s="69"/>
      <c r="T494" s="903"/>
      <c r="U494" s="208" t="e">
        <f>15*#REF!</f>
        <v>#REF!</v>
      </c>
      <c r="V494" s="69"/>
      <c r="W494" s="69"/>
      <c r="Y494" s="442"/>
    </row>
    <row r="495" spans="1:26">
      <c r="A495" s="310"/>
      <c r="B495" s="262"/>
      <c r="C495" s="726"/>
      <c r="D495" s="153"/>
      <c r="E495" s="790"/>
      <c r="F495" s="629"/>
      <c r="G495" s="629"/>
      <c r="H495" s="629"/>
      <c r="I495" s="594"/>
      <c r="J495" s="595"/>
      <c r="K495" s="594"/>
      <c r="L495" s="596"/>
      <c r="M495" s="598"/>
      <c r="N495" s="598"/>
      <c r="O495" s="596"/>
      <c r="P495" s="599"/>
      <c r="Q495" s="69"/>
      <c r="R495" s="69"/>
      <c r="S495" s="69"/>
      <c r="T495" s="903"/>
      <c r="U495" s="208"/>
      <c r="V495" s="69"/>
      <c r="W495" s="69"/>
      <c r="Y495" s="442"/>
    </row>
    <row r="496" spans="1:26" ht="15">
      <c r="A496" s="310" t="str">
        <f t="shared" si="310"/>
        <v/>
      </c>
      <c r="B496" s="262"/>
      <c r="C496" s="727" t="s">
        <v>285</v>
      </c>
      <c r="D496" s="153"/>
      <c r="E496" s="790"/>
      <c r="F496" s="690"/>
      <c r="G496" s="690"/>
      <c r="H496" s="585"/>
      <c r="I496" s="585"/>
      <c r="J496" s="585"/>
      <c r="K496" s="585"/>
      <c r="L496" s="585"/>
      <c r="M496" s="175"/>
      <c r="N496" s="707"/>
      <c r="O496" s="175"/>
      <c r="P496" s="586"/>
      <c r="Q496" s="69"/>
      <c r="R496" s="69"/>
      <c r="S496" s="69"/>
      <c r="T496" s="903"/>
      <c r="U496" s="205"/>
      <c r="V496" s="69"/>
      <c r="W496" s="69"/>
      <c r="Y496" s="442"/>
    </row>
    <row r="497" spans="1:26">
      <c r="A497" s="310">
        <f>IF(ISNUMBER(E497),ROW(),"")</f>
        <v>497</v>
      </c>
      <c r="B497" s="262"/>
      <c r="C497" s="726" t="s">
        <v>984</v>
      </c>
      <c r="D497" s="153"/>
      <c r="E497" s="678">
        <v>493000</v>
      </c>
      <c r="F497" s="629">
        <v>2000</v>
      </c>
      <c r="G497" s="629">
        <v>200</v>
      </c>
      <c r="H497" s="630">
        <v>120</v>
      </c>
      <c r="I497" s="594">
        <f>MROUND(E497*(1-$E$677/100)/F497,0.05)</f>
        <v>221.85000000000002</v>
      </c>
      <c r="J497" s="595">
        <f>MROUND($E497*(1+$E$677/100)/2*$E$682/100/$G497,0.05)</f>
        <v>20.350000000000001</v>
      </c>
      <c r="K497" s="600">
        <f>MROUND($E497*(1+$E$677/100)/2*$E$678/100/$G497,0.05)</f>
        <v>142.35</v>
      </c>
      <c r="L497" s="601">
        <f t="shared" ref="L497" si="331">SUM(I497:K497)</f>
        <v>384.55</v>
      </c>
      <c r="M497" s="691">
        <f>MROUND($E497*$H497/100/$F497,0.05)</f>
        <v>295.8</v>
      </c>
      <c r="N497" s="650">
        <f t="shared" ref="N497" si="332">MROUND(Y497*Z497,0.05)</f>
        <v>0</v>
      </c>
      <c r="O497" s="601">
        <f t="shared" ref="O497" si="333">SUM(M497:N497)</f>
        <v>295.8</v>
      </c>
      <c r="P497" s="599">
        <f t="shared" ref="P497" si="334">O497+L497</f>
        <v>680.35</v>
      </c>
      <c r="Q497" s="69"/>
      <c r="R497" s="69"/>
      <c r="S497" s="69"/>
      <c r="T497" s="903"/>
      <c r="U497" s="208" t="e">
        <f>15*#REF!</f>
        <v>#REF!</v>
      </c>
      <c r="V497" s="69"/>
      <c r="W497" s="69"/>
      <c r="Y497" s="442"/>
    </row>
    <row r="498" spans="1:26">
      <c r="A498" s="156" t="str">
        <f t="shared" si="310"/>
        <v/>
      </c>
      <c r="C498" s="823"/>
      <c r="D498" s="170"/>
      <c r="E498" s="563"/>
      <c r="F498" s="692"/>
      <c r="G498" s="692"/>
      <c r="H498" s="692"/>
      <c r="I498" s="605"/>
      <c r="J498" s="606"/>
      <c r="K498" s="605"/>
      <c r="L498" s="607"/>
      <c r="M498" s="608"/>
      <c r="N498" s="608"/>
      <c r="O498" s="607"/>
      <c r="P498" s="609"/>
      <c r="U498" s="207"/>
      <c r="Y498" s="189"/>
    </row>
    <row r="499" spans="1:26">
      <c r="A499" s="156" t="str">
        <f t="shared" si="310"/>
        <v/>
      </c>
      <c r="B499" s="263"/>
      <c r="C499" s="828"/>
      <c r="D499" s="829"/>
      <c r="E499" s="564"/>
      <c r="F499" s="174"/>
      <c r="G499" s="174"/>
      <c r="H499" s="174"/>
      <c r="I499" s="174"/>
      <c r="J499" s="174"/>
      <c r="K499" s="174"/>
      <c r="L499" s="174"/>
      <c r="M499" s="174"/>
      <c r="N499" s="174"/>
      <c r="O499" s="174"/>
      <c r="P499" s="174"/>
      <c r="Q499" s="155"/>
      <c r="R499" s="183"/>
      <c r="S499" s="310"/>
      <c r="T499" s="904"/>
      <c r="U499" s="203"/>
      <c r="V499" s="183"/>
      <c r="W499" s="183"/>
      <c r="Y499" s="189"/>
    </row>
    <row r="500" spans="1:26">
      <c r="A500" s="156" t="str">
        <f t="shared" ref="A500:A517" si="335">IF(ISNUMBER(E500),ROW(),"")</f>
        <v/>
      </c>
      <c r="B500" s="263"/>
      <c r="C500" s="828"/>
      <c r="D500" s="829"/>
      <c r="E500" s="564"/>
      <c r="F500" s="174"/>
      <c r="G500" s="174"/>
      <c r="H500" s="174"/>
      <c r="I500" s="174"/>
      <c r="J500" s="174"/>
      <c r="K500" s="174"/>
      <c r="L500" s="174"/>
      <c r="M500" s="174"/>
      <c r="N500" s="174"/>
      <c r="O500" s="174"/>
      <c r="P500" s="174"/>
      <c r="Q500" s="65"/>
      <c r="R500" s="183"/>
      <c r="S500" s="310"/>
      <c r="T500" s="904"/>
      <c r="U500" s="203"/>
      <c r="V500" s="183"/>
      <c r="W500" s="183"/>
      <c r="Y500" s="189"/>
    </row>
    <row r="501" spans="1:26" s="452" customFormat="1" ht="23.25" customHeight="1" thickBot="1">
      <c r="A501" s="31" t="str">
        <f t="shared" si="335"/>
        <v/>
      </c>
      <c r="B501" s="287">
        <f>ROUNDDOWN(MAX($B$8:B500),0)+1</f>
        <v>13</v>
      </c>
      <c r="C501" s="724" t="s">
        <v>288</v>
      </c>
      <c r="D501" s="301"/>
      <c r="E501" s="558"/>
      <c r="F501" s="297"/>
      <c r="G501" s="297"/>
      <c r="H501" s="297"/>
      <c r="I501" s="579"/>
      <c r="J501" s="579"/>
      <c r="K501" s="579"/>
      <c r="L501" s="579"/>
      <c r="M501" s="298"/>
      <c r="N501" s="298"/>
      <c r="O501" s="298"/>
      <c r="P501" s="299"/>
      <c r="Q501" s="158"/>
      <c r="R501" s="158"/>
      <c r="S501" s="158"/>
      <c r="T501" s="902"/>
      <c r="U501" s="305"/>
      <c r="V501" s="158"/>
      <c r="W501" s="158"/>
      <c r="X501" s="159"/>
      <c r="Y501" s="160"/>
      <c r="Z501" s="161"/>
    </row>
    <row r="502" spans="1:26">
      <c r="A502" s="156" t="str">
        <f t="shared" si="335"/>
        <v/>
      </c>
      <c r="B502" s="263"/>
      <c r="C502" s="828"/>
      <c r="D502" s="829"/>
      <c r="E502" s="564"/>
      <c r="F502" s="174"/>
      <c r="G502" s="174"/>
      <c r="H502" s="174"/>
      <c r="I502" s="174"/>
      <c r="J502" s="174"/>
      <c r="K502" s="174"/>
      <c r="L502" s="174"/>
      <c r="M502" s="174"/>
      <c r="N502" s="174"/>
      <c r="O502" s="174"/>
      <c r="P502" s="174"/>
      <c r="Q502" s="155"/>
      <c r="R502" s="183"/>
      <c r="S502" s="310"/>
      <c r="T502" s="904"/>
      <c r="U502" s="203"/>
      <c r="V502" s="183"/>
      <c r="W502" s="183"/>
      <c r="Y502" s="189"/>
    </row>
    <row r="503" spans="1:26" ht="13.5" thickBot="1">
      <c r="A503" s="156" t="str">
        <f t="shared" si="335"/>
        <v/>
      </c>
      <c r="B503" s="266">
        <f>MAX($B$8:B502)+0.01</f>
        <v>13.01</v>
      </c>
      <c r="C503" s="819" t="s">
        <v>475</v>
      </c>
      <c r="D503" s="832"/>
      <c r="E503" s="713"/>
      <c r="F503" s="683"/>
      <c r="G503" s="683"/>
      <c r="H503" s="684"/>
      <c r="I503" s="684"/>
      <c r="J503" s="684"/>
      <c r="K503" s="684"/>
      <c r="L503" s="684"/>
      <c r="M503" s="685"/>
      <c r="N503" s="685"/>
      <c r="O503" s="685"/>
      <c r="P503" s="697" t="s">
        <v>921</v>
      </c>
      <c r="U503" s="204"/>
      <c r="Y503" s="189"/>
    </row>
    <row r="504" spans="1:26">
      <c r="A504" s="156" t="str">
        <f t="shared" si="335"/>
        <v/>
      </c>
      <c r="B504" s="262"/>
      <c r="C504" s="816"/>
      <c r="D504" s="826"/>
      <c r="E504" s="709"/>
      <c r="F504" s="687"/>
      <c r="G504" s="687"/>
      <c r="H504" s="589"/>
      <c r="I504" s="589"/>
      <c r="J504" s="589"/>
      <c r="K504" s="589"/>
      <c r="L504" s="589"/>
      <c r="M504" s="688"/>
      <c r="N504" s="688"/>
      <c r="O504" s="688"/>
      <c r="P504" s="689"/>
      <c r="Q504" s="69"/>
      <c r="R504" s="69"/>
      <c r="S504" s="69"/>
      <c r="T504" s="903"/>
      <c r="U504" s="205"/>
      <c r="V504" s="69"/>
      <c r="W504" s="69"/>
      <c r="Y504" s="189"/>
    </row>
    <row r="505" spans="1:26">
      <c r="A505" s="156">
        <f t="shared" si="335"/>
        <v>505</v>
      </c>
      <c r="B505" s="262"/>
      <c r="C505" s="726" t="s">
        <v>1338</v>
      </c>
      <c r="D505" s="153"/>
      <c r="E505" s="678">
        <v>344500</v>
      </c>
      <c r="F505" s="629">
        <v>2000</v>
      </c>
      <c r="G505" s="629">
        <v>150</v>
      </c>
      <c r="H505" s="630">
        <v>80</v>
      </c>
      <c r="I505" s="594">
        <f>MROUND(E505*(1-$E$677/100)/F505,0.05)</f>
        <v>155.05000000000001</v>
      </c>
      <c r="J505" s="595">
        <f>MROUND($E505*(1+$E$677/100)/2*$E$682/100/$G505,0.05)</f>
        <v>18.95</v>
      </c>
      <c r="K505" s="600">
        <f>MROUND($E505*(1+$E$677/100)/2*$E$678/100/$G505,0.05)</f>
        <v>132.65</v>
      </c>
      <c r="L505" s="601">
        <f t="shared" ref="L505" si="336">SUM(I505:K505)</f>
        <v>306.64999999999998</v>
      </c>
      <c r="M505" s="691">
        <f>MROUND($E505*$H505/100/$F505,0.05)</f>
        <v>137.80000000000001</v>
      </c>
      <c r="N505" s="650">
        <f t="shared" ref="N505" si="337">MROUND(Y505*Z505,0.05)</f>
        <v>0</v>
      </c>
      <c r="O505" s="601">
        <f t="shared" ref="O505" si="338">SUM(M505:N505)</f>
        <v>137.80000000000001</v>
      </c>
      <c r="P505" s="599">
        <f t="shared" ref="P505" si="339">O505+L505</f>
        <v>444.45</v>
      </c>
      <c r="Q505" s="69"/>
      <c r="R505" s="69"/>
      <c r="S505" s="69"/>
      <c r="T505" s="903"/>
      <c r="U505" s="208" t="s">
        <v>1</v>
      </c>
      <c r="V505" s="69"/>
      <c r="W505" s="69"/>
      <c r="Y505" s="189"/>
      <c r="Z505" s="69"/>
    </row>
    <row r="506" spans="1:26">
      <c r="A506" s="310">
        <f t="shared" ref="A506" si="340">IF(ISNUMBER(E506),ROW(),"")</f>
        <v>506</v>
      </c>
      <c r="B506" s="262"/>
      <c r="C506" s="726" t="s">
        <v>1339</v>
      </c>
      <c r="D506" s="153"/>
      <c r="E506" s="678">
        <v>373000</v>
      </c>
      <c r="F506" s="629">
        <v>2000</v>
      </c>
      <c r="G506" s="629">
        <v>150</v>
      </c>
      <c r="H506" s="630">
        <v>80</v>
      </c>
      <c r="I506" s="594">
        <f>MROUND(E506*(1-$E$677/100)/F506,0.05)</f>
        <v>167.85000000000002</v>
      </c>
      <c r="J506" s="595">
        <f>MROUND($E506*(1+$E$677/100)/2*$E$682/100/$G506,0.05)</f>
        <v>20.5</v>
      </c>
      <c r="K506" s="600">
        <f>MROUND($E506*(1+$E$677/100)/2*$E$678/100/$G506,0.05)</f>
        <v>143.6</v>
      </c>
      <c r="L506" s="601">
        <f t="shared" ref="L506" si="341">SUM(I506:K506)</f>
        <v>331.95000000000005</v>
      </c>
      <c r="M506" s="691">
        <f>MROUND($E506*$H506/100/$F506,0.05)</f>
        <v>149.20000000000002</v>
      </c>
      <c r="N506" s="650">
        <f t="shared" ref="N506" si="342">MROUND(Y506*Z506,0.05)</f>
        <v>0</v>
      </c>
      <c r="O506" s="601">
        <f t="shared" ref="O506" si="343">SUM(M506:N506)</f>
        <v>149.20000000000002</v>
      </c>
      <c r="P506" s="599">
        <f t="shared" ref="P506" si="344">O506+L506</f>
        <v>481.15000000000009</v>
      </c>
      <c r="Q506" s="69"/>
      <c r="R506" s="69"/>
      <c r="S506" s="69"/>
      <c r="T506" s="903"/>
      <c r="U506" s="208" t="s">
        <v>1</v>
      </c>
      <c r="V506" s="69"/>
      <c r="W506" s="69"/>
      <c r="Y506" s="772"/>
      <c r="Z506" s="69"/>
    </row>
    <row r="507" spans="1:26">
      <c r="A507" s="256" t="str">
        <f t="shared" ref="A507" si="345">IF(ISNUMBER(E507),ROW(),"")</f>
        <v/>
      </c>
      <c r="C507" s="823"/>
      <c r="D507" s="170"/>
      <c r="E507" s="563"/>
      <c r="F507" s="692"/>
      <c r="G507" s="692"/>
      <c r="H507" s="692"/>
      <c r="I507" s="605"/>
      <c r="J507" s="606"/>
      <c r="K507" s="605"/>
      <c r="L507" s="607"/>
      <c r="M507" s="608"/>
      <c r="N507" s="608"/>
      <c r="O507" s="607"/>
      <c r="P507" s="609"/>
      <c r="U507" s="207"/>
      <c r="Y507" s="257"/>
      <c r="Z507" s="69"/>
    </row>
    <row r="508" spans="1:26">
      <c r="A508" s="256" t="str">
        <f t="shared" ref="A508:A510" si="346">IF(ISNUMBER(E508),ROW(),"")</f>
        <v/>
      </c>
      <c r="B508" s="263"/>
      <c r="C508" s="828"/>
      <c r="D508" s="829"/>
      <c r="E508" s="564"/>
      <c r="F508" s="174"/>
      <c r="G508" s="174"/>
      <c r="H508" s="174"/>
      <c r="I508" s="174"/>
      <c r="J508" s="174"/>
      <c r="K508" s="174"/>
      <c r="L508" s="174"/>
      <c r="M508" s="174"/>
      <c r="N508" s="174"/>
      <c r="O508" s="174"/>
      <c r="P508" s="174"/>
      <c r="Q508" s="256"/>
      <c r="R508" s="256"/>
      <c r="S508" s="310"/>
      <c r="T508" s="904"/>
      <c r="U508" s="203"/>
      <c r="V508" s="256"/>
      <c r="W508" s="256"/>
      <c r="Y508" s="257"/>
      <c r="Z508" s="69"/>
    </row>
    <row r="509" spans="1:26" ht="13.5" thickBot="1">
      <c r="A509" s="256" t="str">
        <f t="shared" si="346"/>
        <v/>
      </c>
      <c r="B509" s="266">
        <f>MAX($B$8:B508)+0.01</f>
        <v>13.02</v>
      </c>
      <c r="C509" s="819" t="s">
        <v>476</v>
      </c>
      <c r="D509" s="832"/>
      <c r="E509" s="713"/>
      <c r="F509" s="683"/>
      <c r="G509" s="683"/>
      <c r="H509" s="684"/>
      <c r="I509" s="684"/>
      <c r="J509" s="684"/>
      <c r="K509" s="684"/>
      <c r="L509" s="684"/>
      <c r="M509" s="685"/>
      <c r="N509" s="685"/>
      <c r="O509" s="685"/>
      <c r="P509" s="697" t="s">
        <v>922</v>
      </c>
      <c r="U509" s="204"/>
      <c r="Y509" s="257"/>
      <c r="Z509" s="69"/>
    </row>
    <row r="510" spans="1:26">
      <c r="A510" s="256" t="str">
        <f t="shared" si="346"/>
        <v/>
      </c>
      <c r="B510" s="262"/>
      <c r="C510" s="816"/>
      <c r="D510" s="826"/>
      <c r="E510" s="709"/>
      <c r="F510" s="687"/>
      <c r="G510" s="687"/>
      <c r="H510" s="589"/>
      <c r="I510" s="589"/>
      <c r="J510" s="589"/>
      <c r="K510" s="589"/>
      <c r="L510" s="589"/>
      <c r="M510" s="688"/>
      <c r="N510" s="688"/>
      <c r="O510" s="688"/>
      <c r="P510" s="689"/>
      <c r="Q510" s="69"/>
      <c r="R510" s="69"/>
      <c r="S510" s="69"/>
      <c r="T510" s="903"/>
      <c r="U510" s="205"/>
      <c r="V510" s="69"/>
      <c r="W510" s="69"/>
      <c r="Y510" s="257"/>
      <c r="Z510" s="69"/>
    </row>
    <row r="511" spans="1:26">
      <c r="A511" s="156">
        <f t="shared" si="335"/>
        <v>511</v>
      </c>
      <c r="B511" s="262"/>
      <c r="C511" s="726" t="s">
        <v>985</v>
      </c>
      <c r="D511" s="153"/>
      <c r="E511" s="678">
        <v>1897000</v>
      </c>
      <c r="F511" s="629">
        <v>2000</v>
      </c>
      <c r="G511" s="629">
        <v>150</v>
      </c>
      <c r="H511" s="630">
        <v>80</v>
      </c>
      <c r="I511" s="594">
        <f>MROUND(E511*(1-$E$677/100)/F511,0.05)</f>
        <v>853.65000000000009</v>
      </c>
      <c r="J511" s="595">
        <f>MROUND($E511*(1+$E$677/100)/2*$E$682/100/$G511,0.05)</f>
        <v>104.35000000000001</v>
      </c>
      <c r="K511" s="600">
        <f>MROUND($E511*(1+$E$677/100)/2*$E$678/100/$G511,0.05)</f>
        <v>730.35</v>
      </c>
      <c r="L511" s="601">
        <f t="shared" ref="L511:L513" si="347">SUM(I511:K511)</f>
        <v>1688.3500000000001</v>
      </c>
      <c r="M511" s="691">
        <f>MROUND($E511*$H511/100/$F511,0.05)</f>
        <v>758.80000000000007</v>
      </c>
      <c r="N511" s="650">
        <f t="shared" ref="N511:N513" si="348">MROUND(Y511*Z511,0.05)</f>
        <v>0</v>
      </c>
      <c r="O511" s="601">
        <f t="shared" ref="O511:O513" si="349">SUM(M511:N511)</f>
        <v>758.80000000000007</v>
      </c>
      <c r="P511" s="599">
        <f t="shared" ref="P511:P513" si="350">O511+L511</f>
        <v>2447.15</v>
      </c>
      <c r="Q511" s="69"/>
      <c r="R511" s="69"/>
      <c r="S511" s="69"/>
      <c r="T511" s="903"/>
      <c r="U511" s="208" t="s">
        <v>1</v>
      </c>
      <c r="V511" s="69"/>
      <c r="W511" s="69"/>
      <c r="Y511" s="189"/>
      <c r="Z511" s="69"/>
    </row>
    <row r="512" spans="1:26">
      <c r="A512" s="156">
        <f t="shared" si="335"/>
        <v>512</v>
      </c>
      <c r="B512" s="262"/>
      <c r="C512" s="726" t="s">
        <v>986</v>
      </c>
      <c r="D512" s="153"/>
      <c r="E512" s="678">
        <v>2362500</v>
      </c>
      <c r="F512" s="629">
        <v>2000</v>
      </c>
      <c r="G512" s="629">
        <v>150</v>
      </c>
      <c r="H512" s="630">
        <v>80</v>
      </c>
      <c r="I512" s="594">
        <f>MROUND(E512*(1-$E$677/100)/F512,0.05)</f>
        <v>1063.1500000000001</v>
      </c>
      <c r="J512" s="595">
        <f>MROUND($E512*(1+$E$677/100)/2*$E$682/100/$G512,0.05)</f>
        <v>129.95000000000002</v>
      </c>
      <c r="K512" s="600">
        <f>MROUND($E512*(1+$E$677/100)/2*$E$678/100/$G512,0.05)</f>
        <v>909.55000000000007</v>
      </c>
      <c r="L512" s="601">
        <f t="shared" si="347"/>
        <v>2102.65</v>
      </c>
      <c r="M512" s="691">
        <f>MROUND($E512*$H512/100/$F512,0.05)</f>
        <v>945</v>
      </c>
      <c r="N512" s="650">
        <f t="shared" si="348"/>
        <v>0</v>
      </c>
      <c r="O512" s="601">
        <f t="shared" si="349"/>
        <v>945</v>
      </c>
      <c r="P512" s="599">
        <f t="shared" si="350"/>
        <v>3047.65</v>
      </c>
      <c r="Q512" s="69"/>
      <c r="R512" s="69"/>
      <c r="S512" s="69"/>
      <c r="T512" s="903"/>
      <c r="U512" s="208" t="s">
        <v>1</v>
      </c>
      <c r="V512" s="69"/>
      <c r="W512" s="69"/>
      <c r="Y512" s="189"/>
      <c r="Z512" s="69"/>
    </row>
    <row r="513" spans="1:26">
      <c r="A513" s="156">
        <f t="shared" si="335"/>
        <v>513</v>
      </c>
      <c r="B513" s="262"/>
      <c r="C513" s="726" t="s">
        <v>987</v>
      </c>
      <c r="D513" s="153"/>
      <c r="E513" s="678">
        <v>2565000</v>
      </c>
      <c r="F513" s="629">
        <v>2000</v>
      </c>
      <c r="G513" s="629">
        <v>150</v>
      </c>
      <c r="H513" s="630">
        <v>80</v>
      </c>
      <c r="I513" s="594">
        <f>MROUND(E513*(1-$E$677/100)/F513,0.05)</f>
        <v>1154.25</v>
      </c>
      <c r="J513" s="595">
        <f>MROUND($E513*(1+$E$677/100)/2*$E$682/100/$G513,0.05)</f>
        <v>141.05000000000001</v>
      </c>
      <c r="K513" s="600">
        <f>MROUND($E513*(1+$E$677/100)/2*$E$678/100/$G513,0.05)</f>
        <v>987.55000000000007</v>
      </c>
      <c r="L513" s="601">
        <f t="shared" si="347"/>
        <v>2282.85</v>
      </c>
      <c r="M513" s="691">
        <f>MROUND($E513*$H513/100/$F513,0.05)</f>
        <v>1026</v>
      </c>
      <c r="N513" s="650">
        <f t="shared" si="348"/>
        <v>0</v>
      </c>
      <c r="O513" s="601">
        <f t="shared" si="349"/>
        <v>1026</v>
      </c>
      <c r="P513" s="599">
        <f t="shared" si="350"/>
        <v>3308.85</v>
      </c>
      <c r="Q513" s="69"/>
      <c r="R513" s="69"/>
      <c r="S513" s="69"/>
      <c r="T513" s="903"/>
      <c r="U513" s="208" t="s">
        <v>1</v>
      </c>
      <c r="V513" s="69"/>
      <c r="W513" s="69"/>
      <c r="Y513" s="189"/>
      <c r="Z513" s="69"/>
    </row>
    <row r="514" spans="1:26">
      <c r="A514" s="156" t="str">
        <f t="shared" si="335"/>
        <v/>
      </c>
      <c r="C514" s="823"/>
      <c r="D514" s="170"/>
      <c r="E514" s="563"/>
      <c r="F514" s="692"/>
      <c r="G514" s="692"/>
      <c r="H514" s="692"/>
      <c r="I514" s="605"/>
      <c r="J514" s="606"/>
      <c r="K514" s="605"/>
      <c r="L514" s="607"/>
      <c r="M514" s="608"/>
      <c r="N514" s="608"/>
      <c r="O514" s="607"/>
      <c r="P514" s="609"/>
      <c r="U514" s="207"/>
      <c r="Y514" s="189"/>
      <c r="Z514" s="69"/>
    </row>
    <row r="515" spans="1:26">
      <c r="A515" s="156" t="str">
        <f t="shared" si="335"/>
        <v/>
      </c>
      <c r="B515" s="263"/>
      <c r="C515" s="828"/>
      <c r="D515" s="829"/>
      <c r="E515" s="564"/>
      <c r="F515" s="174"/>
      <c r="G515" s="174"/>
      <c r="H515" s="174"/>
      <c r="I515" s="174"/>
      <c r="J515" s="174"/>
      <c r="K515" s="174"/>
      <c r="L515" s="174"/>
      <c r="M515" s="174"/>
      <c r="N515" s="174"/>
      <c r="O515" s="174"/>
      <c r="P515" s="174"/>
      <c r="Q515" s="65"/>
      <c r="R515" s="183"/>
      <c r="S515" s="310"/>
      <c r="T515" s="904"/>
      <c r="U515" s="203"/>
      <c r="V515" s="183"/>
      <c r="W515" s="183"/>
      <c r="Y515" s="189"/>
      <c r="Z515" s="69"/>
    </row>
    <row r="516" spans="1:26" ht="13.5" thickBot="1">
      <c r="A516" s="156" t="str">
        <f t="shared" si="335"/>
        <v/>
      </c>
      <c r="B516" s="266">
        <f>MAX($B$8:B515)+0.01</f>
        <v>13.03</v>
      </c>
      <c r="C516" s="819" t="s">
        <v>394</v>
      </c>
      <c r="D516" s="832"/>
      <c r="E516" s="713"/>
      <c r="F516" s="683"/>
      <c r="G516" s="683"/>
      <c r="H516" s="684"/>
      <c r="I516" s="684"/>
      <c r="J516" s="684"/>
      <c r="K516" s="684"/>
      <c r="L516" s="684"/>
      <c r="M516" s="685"/>
      <c r="N516" s="685"/>
      <c r="O516" s="685"/>
      <c r="P516" s="697" t="s">
        <v>923</v>
      </c>
      <c r="U516" s="204"/>
      <c r="Y516" s="189"/>
      <c r="Z516" s="69"/>
    </row>
    <row r="517" spans="1:26">
      <c r="A517" s="156" t="str">
        <f t="shared" si="335"/>
        <v/>
      </c>
      <c r="B517" s="262"/>
      <c r="C517" s="825"/>
      <c r="D517" s="826"/>
      <c r="E517" s="709"/>
      <c r="F517" s="687"/>
      <c r="G517" s="687"/>
      <c r="H517" s="589"/>
      <c r="I517" s="589"/>
      <c r="J517" s="589"/>
      <c r="K517" s="589"/>
      <c r="L517" s="589"/>
      <c r="M517" s="688"/>
      <c r="N517" s="688"/>
      <c r="O517" s="688"/>
      <c r="P517" s="689"/>
      <c r="Q517" s="69"/>
      <c r="R517" s="69"/>
      <c r="S517" s="69"/>
      <c r="T517" s="903"/>
      <c r="U517" s="205"/>
      <c r="V517" s="69"/>
      <c r="W517" s="69"/>
      <c r="Y517" s="189"/>
      <c r="Z517" s="69"/>
    </row>
    <row r="518" spans="1:26">
      <c r="A518" s="310"/>
      <c r="B518" s="262"/>
      <c r="C518" s="727" t="s">
        <v>641</v>
      </c>
      <c r="D518" s="153"/>
      <c r="E518" s="710"/>
      <c r="F518" s="690"/>
      <c r="G518" s="690"/>
      <c r="H518" s="585"/>
      <c r="I518" s="585"/>
      <c r="J518" s="585"/>
      <c r="K518" s="585"/>
      <c r="L518" s="585"/>
      <c r="M518" s="175"/>
      <c r="N518" s="175"/>
      <c r="O518" s="175"/>
      <c r="P518" s="586"/>
      <c r="Q518" s="69"/>
      <c r="R518" s="69"/>
      <c r="S518" s="69"/>
      <c r="T518" s="903"/>
      <c r="U518" s="205"/>
      <c r="V518" s="69"/>
      <c r="W518" s="69"/>
      <c r="Y518" s="443"/>
      <c r="Z518" s="69"/>
    </row>
    <row r="519" spans="1:26">
      <c r="A519" s="156">
        <f t="shared" ref="A519:A546" si="351">IF(ISNUMBER(E519),ROW(),"")</f>
        <v>519</v>
      </c>
      <c r="B519" s="262"/>
      <c r="C519" s="726" t="s">
        <v>634</v>
      </c>
      <c r="D519" s="153"/>
      <c r="E519" s="678">
        <v>410000</v>
      </c>
      <c r="F519" s="629">
        <v>2000</v>
      </c>
      <c r="G519" s="629">
        <v>150</v>
      </c>
      <c r="H519" s="630">
        <v>80</v>
      </c>
      <c r="I519" s="594">
        <f>MROUND(E519*(1-$E$677/100)/F519,0.05)</f>
        <v>184.5</v>
      </c>
      <c r="J519" s="595">
        <f>MROUND($E519*(1+$E$677/100)/2*$E$682/100/$G519,0.05)</f>
        <v>22.55</v>
      </c>
      <c r="K519" s="600">
        <f>MROUND($E519*(1+$E$677/100)/2*$E$678/100/$G519,0.05)</f>
        <v>157.85000000000002</v>
      </c>
      <c r="L519" s="601">
        <f t="shared" ref="L519:L523" si="352">SUM(I519:K519)</f>
        <v>364.90000000000003</v>
      </c>
      <c r="M519" s="691">
        <f>MROUND($E519*$H519/100/$F519,0.05)</f>
        <v>164</v>
      </c>
      <c r="N519" s="650">
        <f t="shared" ref="N519:N523" si="353">MROUND(Y519*Z519,0.05)</f>
        <v>0</v>
      </c>
      <c r="O519" s="601">
        <f t="shared" ref="O519:O523" si="354">SUM(M519:N519)</f>
        <v>164</v>
      </c>
      <c r="P519" s="599">
        <f t="shared" ref="P519:P523" si="355">O519+L519</f>
        <v>528.90000000000009</v>
      </c>
      <c r="Q519" s="69"/>
      <c r="R519" s="69"/>
      <c r="S519" s="69"/>
      <c r="T519" s="903"/>
      <c r="U519" s="208">
        <v>35</v>
      </c>
      <c r="V519" s="69"/>
      <c r="W519" s="69"/>
      <c r="Y519" s="189"/>
      <c r="Z519" s="69"/>
    </row>
    <row r="520" spans="1:26">
      <c r="A520" s="156">
        <f t="shared" si="351"/>
        <v>520</v>
      </c>
      <c r="B520" s="262"/>
      <c r="C520" s="726" t="s">
        <v>635</v>
      </c>
      <c r="D520" s="153"/>
      <c r="E520" s="678">
        <v>450750</v>
      </c>
      <c r="F520" s="629">
        <v>2000</v>
      </c>
      <c r="G520" s="629">
        <v>150</v>
      </c>
      <c r="H520" s="630">
        <v>80</v>
      </c>
      <c r="I520" s="594">
        <f>MROUND(E520*(1-$E$677/100)/F520,0.05)</f>
        <v>202.85000000000002</v>
      </c>
      <c r="J520" s="595">
        <f>MROUND($E520*(1+$E$677/100)/2*$E$682/100/$G520,0.05)</f>
        <v>24.8</v>
      </c>
      <c r="K520" s="600">
        <f>MROUND($E520*(1+$E$677/100)/2*$E$678/100/$G520,0.05)</f>
        <v>173.55</v>
      </c>
      <c r="L520" s="601">
        <f t="shared" si="352"/>
        <v>401.20000000000005</v>
      </c>
      <c r="M520" s="691">
        <f>MROUND($E520*$H520/100/$F520,0.05)</f>
        <v>180.3</v>
      </c>
      <c r="N520" s="650">
        <f t="shared" si="353"/>
        <v>0</v>
      </c>
      <c r="O520" s="601">
        <f t="shared" si="354"/>
        <v>180.3</v>
      </c>
      <c r="P520" s="599">
        <f t="shared" si="355"/>
        <v>581.5</v>
      </c>
      <c r="Q520" s="69"/>
      <c r="R520" s="69"/>
      <c r="S520" s="69"/>
      <c r="T520" s="903"/>
      <c r="U520" s="208">
        <v>40</v>
      </c>
      <c r="V520" s="69"/>
      <c r="W520" s="69"/>
      <c r="Y520" s="189"/>
      <c r="Z520" s="69"/>
    </row>
    <row r="521" spans="1:26">
      <c r="A521" s="310">
        <f t="shared" ref="A521" si="356">IF(ISNUMBER(E521),ROW(),"")</f>
        <v>521</v>
      </c>
      <c r="B521" s="262"/>
      <c r="C521" s="726" t="s">
        <v>1082</v>
      </c>
      <c r="D521" s="153"/>
      <c r="E521" s="678">
        <v>687250</v>
      </c>
      <c r="F521" s="629">
        <v>2000</v>
      </c>
      <c r="G521" s="629">
        <v>150</v>
      </c>
      <c r="H521" s="630">
        <v>80</v>
      </c>
      <c r="I521" s="594">
        <f>MROUND(E521*(1-$E$677/100)/F521,0.05)</f>
        <v>309.25</v>
      </c>
      <c r="J521" s="595">
        <f>MROUND($E521*(1+$E$677/100)/2*$E$682/100/$G521,0.05)</f>
        <v>37.800000000000004</v>
      </c>
      <c r="K521" s="600">
        <f>MROUND($E521*(1+$E$677/100)/2*$E$678/100/$G521,0.05)</f>
        <v>264.60000000000002</v>
      </c>
      <c r="L521" s="601">
        <f t="shared" si="352"/>
        <v>611.65000000000009</v>
      </c>
      <c r="M521" s="691">
        <f>MROUND($E521*$H521/100/$F521,0.05)</f>
        <v>274.90000000000003</v>
      </c>
      <c r="N521" s="650">
        <f t="shared" si="353"/>
        <v>0</v>
      </c>
      <c r="O521" s="601">
        <f t="shared" si="354"/>
        <v>274.90000000000003</v>
      </c>
      <c r="P521" s="599">
        <f t="shared" si="355"/>
        <v>886.55000000000018</v>
      </c>
      <c r="Q521" s="69"/>
      <c r="R521" s="69"/>
      <c r="S521" s="69"/>
      <c r="T521" s="903"/>
      <c r="U521" s="208">
        <v>40</v>
      </c>
      <c r="V521" s="69"/>
      <c r="W521" s="69"/>
      <c r="Y521" s="442"/>
      <c r="Z521" s="69"/>
    </row>
    <row r="522" spans="1:26">
      <c r="A522" s="156">
        <f t="shared" si="351"/>
        <v>522</v>
      </c>
      <c r="B522" s="262"/>
      <c r="C522" s="726" t="s">
        <v>1083</v>
      </c>
      <c r="D522" s="153"/>
      <c r="E522" s="678">
        <v>750500</v>
      </c>
      <c r="F522" s="629">
        <v>2000</v>
      </c>
      <c r="G522" s="629">
        <v>150</v>
      </c>
      <c r="H522" s="630">
        <v>80</v>
      </c>
      <c r="I522" s="594">
        <f>MROUND(E522*(1-$E$677/100)/F522,0.05)</f>
        <v>337.75</v>
      </c>
      <c r="J522" s="595">
        <f>MROUND($E522*(1+$E$677/100)/2*$E$682/100/$G522,0.05)</f>
        <v>41.300000000000004</v>
      </c>
      <c r="K522" s="600">
        <f>MROUND($E522*(1+$E$677/100)/2*$E$678/100/$G522,0.05)</f>
        <v>288.95</v>
      </c>
      <c r="L522" s="601">
        <f t="shared" si="352"/>
        <v>668</v>
      </c>
      <c r="M522" s="691">
        <f>MROUND($E522*$H522/100/$F522,0.05)</f>
        <v>300.2</v>
      </c>
      <c r="N522" s="650">
        <f t="shared" si="353"/>
        <v>0</v>
      </c>
      <c r="O522" s="601">
        <f t="shared" si="354"/>
        <v>300.2</v>
      </c>
      <c r="P522" s="599">
        <f t="shared" si="355"/>
        <v>968.2</v>
      </c>
      <c r="Q522" s="69"/>
      <c r="R522" s="69"/>
      <c r="S522" s="69"/>
      <c r="T522" s="903"/>
      <c r="U522" s="208">
        <v>40</v>
      </c>
      <c r="V522" s="69"/>
      <c r="W522" s="69"/>
      <c r="Y522" s="189"/>
      <c r="Z522" s="69"/>
    </row>
    <row r="523" spans="1:26">
      <c r="A523" s="310">
        <f t="shared" ref="A523" si="357">IF(ISNUMBER(E523),ROW(),"")</f>
        <v>523</v>
      </c>
      <c r="B523" s="262"/>
      <c r="C523" s="726" t="s">
        <v>1084</v>
      </c>
      <c r="D523" s="153"/>
      <c r="E523" s="678">
        <v>756000</v>
      </c>
      <c r="F523" s="629">
        <v>2000</v>
      </c>
      <c r="G523" s="629">
        <v>150</v>
      </c>
      <c r="H523" s="630">
        <v>80</v>
      </c>
      <c r="I523" s="594">
        <f>MROUND(E523*(1-$E$677/100)/F523,0.05)</f>
        <v>340.20000000000005</v>
      </c>
      <c r="J523" s="595">
        <f>MROUND($E523*(1+$E$677/100)/2*$E$682/100/$G523,0.05)</f>
        <v>41.6</v>
      </c>
      <c r="K523" s="600">
        <f>MROUND($E523*(1+$E$677/100)/2*$E$678/100/$G523,0.05)</f>
        <v>291.05</v>
      </c>
      <c r="L523" s="601">
        <f t="shared" si="352"/>
        <v>672.85000000000014</v>
      </c>
      <c r="M523" s="691">
        <f>MROUND($E523*$H523/100/$F523,0.05)</f>
        <v>302.40000000000003</v>
      </c>
      <c r="N523" s="650">
        <f t="shared" si="353"/>
        <v>0</v>
      </c>
      <c r="O523" s="601">
        <f t="shared" si="354"/>
        <v>302.40000000000003</v>
      </c>
      <c r="P523" s="599">
        <f t="shared" si="355"/>
        <v>975.25000000000023</v>
      </c>
      <c r="Q523" s="69"/>
      <c r="R523" s="69"/>
      <c r="S523" s="69"/>
      <c r="T523" s="903"/>
      <c r="U523" s="208">
        <v>40</v>
      </c>
      <c r="V523" s="69"/>
      <c r="W523" s="69"/>
      <c r="Y523" s="442"/>
      <c r="Z523" s="69"/>
    </row>
    <row r="524" spans="1:26">
      <c r="A524" s="310"/>
      <c r="B524" s="262"/>
      <c r="C524" s="726"/>
      <c r="D524" s="153"/>
      <c r="E524" s="790"/>
      <c r="F524" s="629"/>
      <c r="G524" s="629"/>
      <c r="H524" s="629"/>
      <c r="I524" s="594"/>
      <c r="J524" s="595"/>
      <c r="K524" s="594"/>
      <c r="L524" s="596"/>
      <c r="M524" s="598"/>
      <c r="N524" s="598"/>
      <c r="O524" s="596"/>
      <c r="P524" s="599"/>
      <c r="Q524" s="69"/>
      <c r="R524" s="69"/>
      <c r="S524" s="69"/>
      <c r="T524" s="903"/>
      <c r="U524" s="208"/>
      <c r="V524" s="69"/>
      <c r="W524" s="69"/>
      <c r="Y524" s="443"/>
      <c r="Z524" s="69"/>
    </row>
    <row r="525" spans="1:26">
      <c r="A525" s="310"/>
      <c r="B525" s="262"/>
      <c r="C525" s="727" t="s">
        <v>642</v>
      </c>
      <c r="D525" s="153"/>
      <c r="E525" s="790"/>
      <c r="F525" s="690"/>
      <c r="G525" s="690"/>
      <c r="H525" s="585"/>
      <c r="I525" s="585"/>
      <c r="J525" s="585"/>
      <c r="K525" s="585"/>
      <c r="L525" s="585"/>
      <c r="M525" s="175"/>
      <c r="N525" s="175"/>
      <c r="O525" s="175"/>
      <c r="P525" s="586"/>
      <c r="Q525" s="69"/>
      <c r="R525" s="69"/>
      <c r="S525" s="69"/>
      <c r="T525" s="903"/>
      <c r="U525" s="205"/>
      <c r="V525" s="69"/>
      <c r="W525" s="69"/>
      <c r="Y525" s="443"/>
      <c r="Z525" s="69"/>
    </row>
    <row r="526" spans="1:26">
      <c r="A526" s="310">
        <f>IF(ISNUMBER(E526),ROW(),"")</f>
        <v>526</v>
      </c>
      <c r="B526" s="262"/>
      <c r="C526" s="726" t="s">
        <v>636</v>
      </c>
      <c r="D526" s="153"/>
      <c r="E526" s="678">
        <v>619750</v>
      </c>
      <c r="F526" s="629">
        <v>2000</v>
      </c>
      <c r="G526" s="629">
        <v>150</v>
      </c>
      <c r="H526" s="630">
        <v>80</v>
      </c>
      <c r="I526" s="594">
        <f>MROUND(E526*(1-$E$677/100)/F526,0.05)</f>
        <v>278.90000000000003</v>
      </c>
      <c r="J526" s="595">
        <f>MROUND($E526*(1+$E$677/100)/2*$E$682/100/$G526,0.05)</f>
        <v>34.1</v>
      </c>
      <c r="K526" s="600">
        <f>MROUND($E526*(1+$E$677/100)/2*$E$678/100/$G526,0.05)</f>
        <v>238.60000000000002</v>
      </c>
      <c r="L526" s="601">
        <f t="shared" ref="L526:L528" si="358">SUM(I526:K526)</f>
        <v>551.60000000000014</v>
      </c>
      <c r="M526" s="691">
        <f>MROUND($E526*$H526/100/$F526,0.05)</f>
        <v>247.9</v>
      </c>
      <c r="N526" s="650">
        <f t="shared" ref="N526:N528" si="359">MROUND(Y526*Z526,0.05)</f>
        <v>0</v>
      </c>
      <c r="O526" s="601">
        <f t="shared" ref="O526:O528" si="360">SUM(M526:N526)</f>
        <v>247.9</v>
      </c>
      <c r="P526" s="599">
        <f t="shared" ref="P526:P528" si="361">O526+L526</f>
        <v>799.50000000000011</v>
      </c>
      <c r="Q526" s="69"/>
      <c r="R526" s="69"/>
      <c r="S526" s="69"/>
      <c r="T526" s="903"/>
      <c r="U526" s="208">
        <v>40</v>
      </c>
      <c r="V526" s="69"/>
      <c r="W526" s="69"/>
      <c r="Y526" s="442"/>
      <c r="Z526" s="69"/>
    </row>
    <row r="527" spans="1:26">
      <c r="A527" s="156">
        <f>IF(ISNUMBER(E527),ROW(),"")</f>
        <v>527</v>
      </c>
      <c r="B527" s="262"/>
      <c r="C527" s="726" t="s">
        <v>1085</v>
      </c>
      <c r="D527" s="153"/>
      <c r="E527" s="678">
        <v>892000</v>
      </c>
      <c r="F527" s="629">
        <v>2000</v>
      </c>
      <c r="G527" s="629">
        <v>150</v>
      </c>
      <c r="H527" s="630">
        <v>80</v>
      </c>
      <c r="I527" s="594">
        <f>MROUND(E527*(1-$E$677/100)/F527,0.05)</f>
        <v>401.40000000000003</v>
      </c>
      <c r="J527" s="595">
        <f>MROUND($E527*(1+$E$677/100)/2*$E$682/100/$G527,0.05)</f>
        <v>49.050000000000004</v>
      </c>
      <c r="K527" s="600">
        <f>MROUND($E527*(1+$E$677/100)/2*$E$678/100/$G527,0.05)</f>
        <v>343.40000000000003</v>
      </c>
      <c r="L527" s="601">
        <f t="shared" si="358"/>
        <v>793.85000000000014</v>
      </c>
      <c r="M527" s="691">
        <f>MROUND($E527*$H527/100/$F527,0.05)</f>
        <v>356.8</v>
      </c>
      <c r="N527" s="650">
        <f t="shared" si="359"/>
        <v>0</v>
      </c>
      <c r="O527" s="601">
        <f t="shared" si="360"/>
        <v>356.8</v>
      </c>
      <c r="P527" s="599">
        <f t="shared" si="361"/>
        <v>1150.6500000000001</v>
      </c>
      <c r="Q527" s="69"/>
      <c r="R527" s="69"/>
      <c r="S527" s="69"/>
      <c r="T527" s="903"/>
      <c r="U527" s="208">
        <v>40</v>
      </c>
      <c r="V527" s="69"/>
      <c r="W527" s="69"/>
      <c r="Y527" s="189"/>
      <c r="Z527" s="69"/>
    </row>
    <row r="528" spans="1:26">
      <c r="A528" s="156">
        <f>IF(ISNUMBER(E528),ROW(),"")</f>
        <v>528</v>
      </c>
      <c r="B528" s="262"/>
      <c r="C528" s="726" t="s">
        <v>1086</v>
      </c>
      <c r="D528" s="153"/>
      <c r="E528" s="678">
        <v>988000</v>
      </c>
      <c r="F528" s="629">
        <v>2000</v>
      </c>
      <c r="G528" s="629">
        <v>150</v>
      </c>
      <c r="H528" s="630">
        <v>80</v>
      </c>
      <c r="I528" s="594">
        <f>MROUND(E528*(1-$E$677/100)/F528,0.05)</f>
        <v>444.6</v>
      </c>
      <c r="J528" s="595">
        <f>MROUND($E528*(1+$E$677/100)/2*$E$682/100/$G528,0.05)</f>
        <v>54.35</v>
      </c>
      <c r="K528" s="600">
        <f>MROUND($E528*(1+$E$677/100)/2*$E$678/100/$G528,0.05)</f>
        <v>380.40000000000003</v>
      </c>
      <c r="L528" s="601">
        <f t="shared" si="358"/>
        <v>879.35000000000014</v>
      </c>
      <c r="M528" s="691">
        <f>MROUND($E528*$H528/100/$F528,0.05)</f>
        <v>395.20000000000005</v>
      </c>
      <c r="N528" s="650">
        <f t="shared" si="359"/>
        <v>0</v>
      </c>
      <c r="O528" s="601">
        <f t="shared" si="360"/>
        <v>395.20000000000005</v>
      </c>
      <c r="P528" s="599">
        <f t="shared" si="361"/>
        <v>1274.5500000000002</v>
      </c>
      <c r="Q528" s="69"/>
      <c r="R528" s="69"/>
      <c r="S528" s="69"/>
      <c r="T528" s="903"/>
      <c r="U528" s="208">
        <v>40</v>
      </c>
      <c r="V528" s="69"/>
      <c r="W528" s="69"/>
      <c r="Y528" s="189"/>
      <c r="Z528" s="69"/>
    </row>
    <row r="529" spans="1:26">
      <c r="A529" s="310"/>
      <c r="B529" s="262"/>
      <c r="C529" s="726"/>
      <c r="D529" s="153"/>
      <c r="E529" s="712"/>
      <c r="F529" s="629"/>
      <c r="G529" s="629"/>
      <c r="H529" s="629"/>
      <c r="I529" s="594"/>
      <c r="J529" s="595"/>
      <c r="K529" s="594"/>
      <c r="L529" s="596"/>
      <c r="M529" s="598"/>
      <c r="N529" s="598"/>
      <c r="O529" s="596"/>
      <c r="P529" s="599"/>
      <c r="Q529" s="69"/>
      <c r="R529" s="69"/>
      <c r="S529" s="69"/>
      <c r="T529" s="903"/>
      <c r="U529" s="208"/>
      <c r="V529" s="69"/>
      <c r="W529" s="69"/>
      <c r="Y529" s="442"/>
      <c r="Z529" s="69"/>
    </row>
    <row r="530" spans="1:26">
      <c r="A530" s="156" t="str">
        <f>IF(ISNUMBER(E530),ROW(),"")</f>
        <v/>
      </c>
      <c r="B530" s="262"/>
      <c r="C530" s="726" t="s">
        <v>637</v>
      </c>
      <c r="D530" s="153"/>
      <c r="E530" s="710"/>
      <c r="F530" s="690"/>
      <c r="G530" s="690"/>
      <c r="H530" s="585"/>
      <c r="I530" s="585"/>
      <c r="J530" s="585"/>
      <c r="K530" s="585"/>
      <c r="L530" s="585"/>
      <c r="M530" s="175"/>
      <c r="N530" s="175"/>
      <c r="O530" s="175"/>
      <c r="P530" s="586"/>
      <c r="Q530" s="69"/>
      <c r="R530" s="69"/>
      <c r="S530" s="69"/>
      <c r="T530" s="903"/>
      <c r="U530" s="205"/>
      <c r="V530" s="69"/>
      <c r="W530" s="69"/>
      <c r="Y530" s="189"/>
      <c r="Z530" s="69"/>
    </row>
    <row r="531" spans="1:26">
      <c r="A531" s="156" t="str">
        <f t="shared" si="351"/>
        <v/>
      </c>
      <c r="C531" s="823"/>
      <c r="D531" s="170"/>
      <c r="E531" s="563"/>
      <c r="F531" s="692"/>
      <c r="G531" s="692"/>
      <c r="H531" s="692"/>
      <c r="I531" s="605"/>
      <c r="J531" s="606"/>
      <c r="K531" s="605"/>
      <c r="L531" s="607"/>
      <c r="M531" s="608"/>
      <c r="N531" s="608"/>
      <c r="O531" s="607"/>
      <c r="P531" s="609"/>
      <c r="U531" s="207"/>
      <c r="Y531" s="189"/>
      <c r="Z531" s="69"/>
    </row>
    <row r="532" spans="1:26">
      <c r="A532" s="156" t="str">
        <f t="shared" si="351"/>
        <v/>
      </c>
      <c r="B532" s="263"/>
      <c r="C532" s="828"/>
      <c r="D532" s="829"/>
      <c r="E532" s="564"/>
      <c r="F532" s="174"/>
      <c r="G532" s="174"/>
      <c r="H532" s="174"/>
      <c r="I532" s="174"/>
      <c r="J532" s="174"/>
      <c r="K532" s="174"/>
      <c r="L532" s="174"/>
      <c r="M532" s="174"/>
      <c r="N532" s="174"/>
      <c r="O532" s="174"/>
      <c r="P532" s="174"/>
      <c r="Q532" s="65"/>
      <c r="R532" s="183"/>
      <c r="S532" s="310"/>
      <c r="T532" s="904"/>
      <c r="U532" s="203"/>
      <c r="V532" s="183"/>
      <c r="W532" s="183"/>
      <c r="Y532" s="189"/>
      <c r="Z532" s="69"/>
    </row>
    <row r="533" spans="1:26" ht="13.5" thickBot="1">
      <c r="A533" s="156" t="str">
        <f t="shared" si="351"/>
        <v/>
      </c>
      <c r="B533" s="266">
        <f>MAX($B$8:B532)+0.01</f>
        <v>13.04</v>
      </c>
      <c r="C533" s="819" t="s">
        <v>988</v>
      </c>
      <c r="D533" s="832"/>
      <c r="E533" s="713"/>
      <c r="F533" s="683"/>
      <c r="G533" s="683"/>
      <c r="H533" s="684"/>
      <c r="I533" s="684"/>
      <c r="J533" s="684"/>
      <c r="K533" s="684"/>
      <c r="L533" s="684"/>
      <c r="M533" s="685"/>
      <c r="N533" s="685"/>
      <c r="O533" s="685"/>
      <c r="P533" s="697" t="s">
        <v>924</v>
      </c>
      <c r="U533" s="204"/>
      <c r="Y533" s="189"/>
      <c r="Z533" s="69"/>
    </row>
    <row r="534" spans="1:26">
      <c r="A534" s="156" t="str">
        <f t="shared" si="351"/>
        <v/>
      </c>
      <c r="B534" s="262"/>
      <c r="C534" s="825"/>
      <c r="D534" s="826"/>
      <c r="E534" s="709"/>
      <c r="F534" s="687"/>
      <c r="G534" s="687"/>
      <c r="H534" s="589"/>
      <c r="I534" s="589"/>
      <c r="J534" s="589"/>
      <c r="K534" s="589"/>
      <c r="L534" s="589"/>
      <c r="M534" s="688"/>
      <c r="N534" s="688"/>
      <c r="O534" s="688"/>
      <c r="P534" s="689"/>
      <c r="Q534" s="69"/>
      <c r="R534" s="69"/>
      <c r="S534" s="69"/>
      <c r="T534" s="903"/>
      <c r="U534" s="214" t="s">
        <v>427</v>
      </c>
      <c r="V534" s="69"/>
      <c r="W534" s="69"/>
      <c r="Y534" s="189"/>
      <c r="Z534" s="69"/>
    </row>
    <row r="535" spans="1:26">
      <c r="A535" s="256">
        <f t="shared" ref="A535" si="362">IF(ISNUMBER(E535),ROW(),"")</f>
        <v>535</v>
      </c>
      <c r="B535" s="262"/>
      <c r="C535" s="726" t="s">
        <v>470</v>
      </c>
      <c r="D535" s="153"/>
      <c r="E535" s="678">
        <v>262500</v>
      </c>
      <c r="F535" s="629">
        <v>2000</v>
      </c>
      <c r="G535" s="629">
        <v>250</v>
      </c>
      <c r="H535" s="630">
        <v>40</v>
      </c>
      <c r="I535" s="594">
        <f>MROUND(E535*(1-$E$677/100)/F535,0.05)</f>
        <v>118.15</v>
      </c>
      <c r="J535" s="595">
        <f>MROUND($E535*(1+$E$677/100)/2*$E$682/100/$G535,0.05)</f>
        <v>8.65</v>
      </c>
      <c r="K535" s="600">
        <f>MROUND($E535*(1+$E$677/100)/2*$E$678/100/$G535,0.05)</f>
        <v>60.650000000000006</v>
      </c>
      <c r="L535" s="601">
        <f t="shared" ref="L535:L537" si="363">SUM(I535:K535)</f>
        <v>187.45000000000002</v>
      </c>
      <c r="M535" s="691">
        <f>MROUND($E535*$H535/100/$F535,0.05)</f>
        <v>52.5</v>
      </c>
      <c r="N535" s="650">
        <f t="shared" ref="N535:N537" si="364">MROUND(Y535*Z535,0.05)</f>
        <v>0</v>
      </c>
      <c r="O535" s="601">
        <f t="shared" ref="O535:O537" si="365">SUM(M535:N535)</f>
        <v>52.5</v>
      </c>
      <c r="P535" s="599">
        <f t="shared" ref="P535:P537" si="366">O535+L535</f>
        <v>239.95000000000002</v>
      </c>
      <c r="Q535" s="69"/>
      <c r="R535" s="69"/>
      <c r="S535" s="69"/>
      <c r="T535" s="903"/>
      <c r="U535" s="208">
        <v>75</v>
      </c>
      <c r="V535" s="69"/>
      <c r="W535" s="69"/>
      <c r="Y535" s="257"/>
      <c r="Z535" s="69"/>
    </row>
    <row r="536" spans="1:26">
      <c r="A536" s="156">
        <f t="shared" si="351"/>
        <v>536</v>
      </c>
      <c r="B536" s="262"/>
      <c r="C536" s="726" t="s">
        <v>469</v>
      </c>
      <c r="D536" s="153"/>
      <c r="E536" s="678">
        <v>356750</v>
      </c>
      <c r="F536" s="629">
        <v>2000</v>
      </c>
      <c r="G536" s="629">
        <v>250</v>
      </c>
      <c r="H536" s="630">
        <v>40</v>
      </c>
      <c r="I536" s="594">
        <f>MROUND(E536*(1-$E$677/100)/F536,0.05)</f>
        <v>160.55000000000001</v>
      </c>
      <c r="J536" s="595">
        <f>MROUND($E536*(1+$E$677/100)/2*$E$682/100/$G536,0.05)</f>
        <v>11.75</v>
      </c>
      <c r="K536" s="600">
        <f>MROUND($E536*(1+$E$677/100)/2*$E$678/100/$G536,0.05)</f>
        <v>82.4</v>
      </c>
      <c r="L536" s="601">
        <f t="shared" si="363"/>
        <v>254.70000000000002</v>
      </c>
      <c r="M536" s="691">
        <f>MROUND($E536*$H536/100/$F536,0.05)</f>
        <v>71.350000000000009</v>
      </c>
      <c r="N536" s="650">
        <f t="shared" si="364"/>
        <v>0</v>
      </c>
      <c r="O536" s="601">
        <f t="shared" si="365"/>
        <v>71.350000000000009</v>
      </c>
      <c r="P536" s="599">
        <f t="shared" si="366"/>
        <v>326.05</v>
      </c>
      <c r="Q536" s="69"/>
      <c r="R536" s="69"/>
      <c r="S536" s="69"/>
      <c r="T536" s="903"/>
      <c r="U536" s="208">
        <v>75</v>
      </c>
      <c r="V536" s="69"/>
      <c r="W536" s="69"/>
      <c r="Y536" s="189"/>
      <c r="Z536" s="69"/>
    </row>
    <row r="537" spans="1:26">
      <c r="A537" s="256">
        <f t="shared" si="351"/>
        <v>537</v>
      </c>
      <c r="B537" s="262"/>
      <c r="C537" s="726" t="s">
        <v>1066</v>
      </c>
      <c r="D537" s="153"/>
      <c r="E537" s="678">
        <v>373250</v>
      </c>
      <c r="F537" s="629">
        <v>2000</v>
      </c>
      <c r="G537" s="629">
        <v>250</v>
      </c>
      <c r="H537" s="630">
        <v>40</v>
      </c>
      <c r="I537" s="594">
        <f>MROUND(E537*(1-$E$677/100)/F537,0.05)</f>
        <v>167.95000000000002</v>
      </c>
      <c r="J537" s="595">
        <f>MROUND($E537*(1+$E$677/100)/2*$E$682/100/$G537,0.05)</f>
        <v>12.3</v>
      </c>
      <c r="K537" s="600">
        <f>MROUND($E537*(1+$E$677/100)/2*$E$678/100/$G537,0.05)</f>
        <v>86.2</v>
      </c>
      <c r="L537" s="601">
        <f t="shared" si="363"/>
        <v>266.45000000000005</v>
      </c>
      <c r="M537" s="691">
        <f>MROUND($E537*$H537/100/$F537,0.05)</f>
        <v>74.650000000000006</v>
      </c>
      <c r="N537" s="650">
        <f t="shared" si="364"/>
        <v>0</v>
      </c>
      <c r="O537" s="601">
        <f t="shared" si="365"/>
        <v>74.650000000000006</v>
      </c>
      <c r="P537" s="599">
        <f t="shared" si="366"/>
        <v>341.1</v>
      </c>
      <c r="Q537" s="69"/>
      <c r="R537" s="69"/>
      <c r="S537" s="69"/>
      <c r="T537" s="903"/>
      <c r="U537" s="208"/>
      <c r="V537" s="69"/>
      <c r="W537" s="69"/>
      <c r="Y537" s="257"/>
      <c r="Z537" s="69"/>
    </row>
    <row r="538" spans="1:26">
      <c r="A538" s="156" t="str">
        <f t="shared" si="351"/>
        <v/>
      </c>
      <c r="C538" s="823"/>
      <c r="D538" s="170"/>
      <c r="E538" s="719"/>
      <c r="F538" s="692"/>
      <c r="G538" s="692"/>
      <c r="H538" s="692"/>
      <c r="I538" s="605"/>
      <c r="J538" s="606"/>
      <c r="K538" s="605"/>
      <c r="L538" s="607"/>
      <c r="M538" s="608"/>
      <c r="N538" s="608"/>
      <c r="O538" s="607"/>
      <c r="P538" s="609"/>
      <c r="U538" s="207"/>
      <c r="Y538" s="189"/>
    </row>
    <row r="539" spans="1:26">
      <c r="A539" s="156" t="str">
        <f t="shared" si="351"/>
        <v/>
      </c>
      <c r="B539" s="263"/>
      <c r="C539" s="828"/>
      <c r="D539" s="829"/>
      <c r="E539" s="564"/>
      <c r="F539" s="174"/>
      <c r="G539" s="174"/>
      <c r="H539" s="174"/>
      <c r="I539" s="174"/>
      <c r="J539" s="174"/>
      <c r="K539" s="174"/>
      <c r="L539" s="174"/>
      <c r="M539" s="174"/>
      <c r="N539" s="174"/>
      <c r="O539" s="174"/>
      <c r="P539" s="174"/>
      <c r="Q539" s="65"/>
      <c r="R539" s="183"/>
      <c r="S539" s="310"/>
      <c r="T539" s="904"/>
      <c r="U539" s="203"/>
      <c r="V539" s="183"/>
      <c r="W539" s="183"/>
      <c r="Y539" s="189"/>
    </row>
    <row r="540" spans="1:26">
      <c r="A540" s="156" t="str">
        <f t="shared" si="351"/>
        <v/>
      </c>
      <c r="B540" s="261"/>
      <c r="C540" s="725"/>
      <c r="D540" s="153"/>
      <c r="E540" s="557"/>
      <c r="F540" s="585"/>
      <c r="G540" s="585"/>
      <c r="H540" s="585"/>
      <c r="I540" s="585"/>
      <c r="J540" s="585"/>
      <c r="K540" s="585"/>
      <c r="L540" s="585"/>
      <c r="M540" s="175"/>
      <c r="N540" s="175"/>
      <c r="O540" s="175"/>
      <c r="P540" s="585"/>
      <c r="Y540" s="189"/>
    </row>
    <row r="541" spans="1:26" s="452" customFormat="1" ht="23.25" customHeight="1" thickBot="1">
      <c r="A541" s="31" t="str">
        <f t="shared" si="351"/>
        <v/>
      </c>
      <c r="B541" s="287">
        <f>ROUNDDOWN(MAX($B$8:B540),0)+1</f>
        <v>14</v>
      </c>
      <c r="C541" s="724" t="s">
        <v>244</v>
      </c>
      <c r="D541" s="301"/>
      <c r="E541" s="558"/>
      <c r="F541" s="297"/>
      <c r="G541" s="297"/>
      <c r="H541" s="297"/>
      <c r="I541" s="579"/>
      <c r="J541" s="579"/>
      <c r="K541" s="579"/>
      <c r="L541" s="579"/>
      <c r="M541" s="298"/>
      <c r="N541" s="298"/>
      <c r="O541" s="298"/>
      <c r="P541" s="299"/>
      <c r="Q541" s="158"/>
      <c r="R541" s="158"/>
      <c r="S541" s="158"/>
      <c r="T541" s="902"/>
      <c r="U541" s="305"/>
      <c r="V541" s="158"/>
      <c r="W541" s="158"/>
      <c r="X541" s="159"/>
      <c r="Y541" s="160"/>
      <c r="Z541" s="161"/>
    </row>
    <row r="542" spans="1:26">
      <c r="A542" s="156" t="str">
        <f t="shared" si="351"/>
        <v/>
      </c>
      <c r="B542" s="261"/>
      <c r="C542" s="725"/>
      <c r="D542" s="153"/>
      <c r="E542" s="557"/>
      <c r="F542" s="585"/>
      <c r="G542" s="585"/>
      <c r="H542" s="585"/>
      <c r="I542" s="585"/>
      <c r="J542" s="585"/>
      <c r="K542" s="585"/>
      <c r="L542" s="585"/>
      <c r="M542" s="175"/>
      <c r="N542" s="175"/>
      <c r="O542" s="175"/>
      <c r="P542" s="585"/>
      <c r="U542" s="201"/>
      <c r="Y542" s="189"/>
    </row>
    <row r="543" spans="1:26" ht="13.5" thickBot="1">
      <c r="A543" s="156" t="str">
        <f t="shared" si="351"/>
        <v/>
      </c>
      <c r="B543" s="266">
        <f>MAX($B$8:B542)+0.01</f>
        <v>14.01</v>
      </c>
      <c r="C543" s="819" t="s">
        <v>294</v>
      </c>
      <c r="D543" s="832"/>
      <c r="E543" s="713"/>
      <c r="F543" s="683"/>
      <c r="G543" s="683"/>
      <c r="H543" s="684"/>
      <c r="I543" s="684"/>
      <c r="J543" s="684"/>
      <c r="K543" s="684"/>
      <c r="L543" s="684"/>
      <c r="M543" s="685"/>
      <c r="N543" s="685"/>
      <c r="O543" s="685"/>
      <c r="P543" s="697" t="s">
        <v>295</v>
      </c>
      <c r="U543" s="204"/>
      <c r="Y543" s="189"/>
    </row>
    <row r="544" spans="1:26">
      <c r="A544" s="156" t="str">
        <f t="shared" si="351"/>
        <v/>
      </c>
      <c r="B544" s="262"/>
      <c r="C544" s="816"/>
      <c r="D544" s="826"/>
      <c r="E544" s="709"/>
      <c r="F544" s="687"/>
      <c r="G544" s="687"/>
      <c r="H544" s="589"/>
      <c r="I544" s="589"/>
      <c r="J544" s="589"/>
      <c r="K544" s="589"/>
      <c r="L544" s="589"/>
      <c r="M544" s="688"/>
      <c r="N544" s="688"/>
      <c r="O544" s="688"/>
      <c r="P544" s="689"/>
      <c r="Q544" s="69"/>
      <c r="R544" s="69"/>
      <c r="S544" s="69"/>
      <c r="T544" s="903"/>
      <c r="U544" s="205"/>
      <c r="V544" s="69"/>
      <c r="W544" s="69"/>
      <c r="Y544" s="189"/>
    </row>
    <row r="545" spans="1:25">
      <c r="A545" s="156" t="str">
        <f t="shared" si="351"/>
        <v/>
      </c>
      <c r="B545" s="262"/>
      <c r="C545" s="727" t="s">
        <v>293</v>
      </c>
      <c r="D545" s="153"/>
      <c r="E545" s="710"/>
      <c r="F545" s="690"/>
      <c r="G545" s="690"/>
      <c r="H545" s="585"/>
      <c r="I545" s="585"/>
      <c r="J545" s="585"/>
      <c r="K545" s="585"/>
      <c r="L545" s="585"/>
      <c r="M545" s="175"/>
      <c r="N545" s="175"/>
      <c r="O545" s="175"/>
      <c r="P545" s="586"/>
      <c r="Q545" s="69"/>
      <c r="R545" s="69"/>
      <c r="S545" s="69"/>
      <c r="T545" s="903"/>
      <c r="U545" s="205"/>
      <c r="V545" s="69"/>
      <c r="W545" s="69"/>
      <c r="Y545" s="189"/>
    </row>
    <row r="546" spans="1:25">
      <c r="A546" s="156">
        <f t="shared" si="351"/>
        <v>546</v>
      </c>
      <c r="B546" s="262"/>
      <c r="C546" s="726" t="s">
        <v>638</v>
      </c>
      <c r="D546" s="153"/>
      <c r="E546" s="678">
        <v>455048.73333333334</v>
      </c>
      <c r="F546" s="629">
        <v>3000</v>
      </c>
      <c r="G546" s="629">
        <v>300</v>
      </c>
      <c r="H546" s="630">
        <v>60</v>
      </c>
      <c r="I546" s="594">
        <f>MROUND(E546*(1-$E$677/100)/F546,0.05)</f>
        <v>136.5</v>
      </c>
      <c r="J546" s="595">
        <f>MROUND($E546*(1+$E$677/100)/2*$E$682/100/$G546,0.05)</f>
        <v>12.5</v>
      </c>
      <c r="K546" s="600">
        <f>MROUND($E546*(1+$E$677/100)/2*$E$678/100/$G546,0.05)</f>
        <v>87.600000000000009</v>
      </c>
      <c r="L546" s="601">
        <f t="shared" ref="L546:L547" si="367">SUM(I546:K546)</f>
        <v>236.60000000000002</v>
      </c>
      <c r="M546" s="691">
        <f>MROUND($E546*$H546/100/$F546,0.05)</f>
        <v>91</v>
      </c>
      <c r="N546" s="650">
        <f t="shared" ref="N546:N547" si="368">MROUND(Y546*Z546,0.05)</f>
        <v>0</v>
      </c>
      <c r="O546" s="601">
        <f t="shared" ref="O546:O547" si="369">SUM(M546:N546)</f>
        <v>91</v>
      </c>
      <c r="P546" s="599">
        <f t="shared" ref="P546:P547" si="370">O546+L546</f>
        <v>327.60000000000002</v>
      </c>
      <c r="Q546" s="69"/>
      <c r="R546" s="69"/>
      <c r="S546" s="69"/>
      <c r="T546" s="903"/>
      <c r="U546" s="208"/>
      <c r="V546" s="69"/>
      <c r="W546" s="69"/>
      <c r="Y546" s="189"/>
    </row>
    <row r="547" spans="1:25">
      <c r="A547" s="156">
        <f t="shared" ref="A547:A593" si="371">IF(ISNUMBER(E547),ROW(),"")</f>
        <v>547</v>
      </c>
      <c r="B547" s="262"/>
      <c r="C547" s="726" t="s">
        <v>1198</v>
      </c>
      <c r="D547" s="153"/>
      <c r="E547" s="678">
        <v>686289.26666666672</v>
      </c>
      <c r="F547" s="629">
        <v>3000</v>
      </c>
      <c r="G547" s="629">
        <v>300</v>
      </c>
      <c r="H547" s="630">
        <v>60</v>
      </c>
      <c r="I547" s="594">
        <f>MROUND(E547*(1-$E$677/100)/F547,0.05)</f>
        <v>205.9</v>
      </c>
      <c r="J547" s="595">
        <f>MROUND($E547*(1+$E$677/100)/2*$E$682/100/$G547,0.05)</f>
        <v>18.850000000000001</v>
      </c>
      <c r="K547" s="600">
        <f>MROUND($E547*(1+$E$677/100)/2*$E$678/100/$G547,0.05)</f>
        <v>132.1</v>
      </c>
      <c r="L547" s="601">
        <f t="shared" si="367"/>
        <v>356.85</v>
      </c>
      <c r="M547" s="691">
        <f>MROUND($E547*$H547/100/$F547,0.05)</f>
        <v>137.25</v>
      </c>
      <c r="N547" s="650">
        <f t="shared" si="368"/>
        <v>0</v>
      </c>
      <c r="O547" s="601">
        <f t="shared" si="369"/>
        <v>137.25</v>
      </c>
      <c r="P547" s="599">
        <f t="shared" si="370"/>
        <v>494.1</v>
      </c>
      <c r="Q547" s="69"/>
      <c r="R547" s="69"/>
      <c r="S547" s="69"/>
      <c r="T547" s="903"/>
      <c r="U547" s="208"/>
      <c r="V547" s="69"/>
      <c r="W547" s="69"/>
      <c r="Y547" s="189"/>
    </row>
    <row r="548" spans="1:25">
      <c r="A548" s="156" t="str">
        <f t="shared" si="371"/>
        <v/>
      </c>
      <c r="B548" s="262"/>
      <c r="C548" s="726"/>
      <c r="D548" s="153"/>
      <c r="E548" s="790"/>
      <c r="F548" s="690"/>
      <c r="G548" s="690"/>
      <c r="H548" s="585"/>
      <c r="I548" s="585"/>
      <c r="J548" s="585"/>
      <c r="K548" s="585"/>
      <c r="L548" s="585"/>
      <c r="M548" s="175"/>
      <c r="N548" s="175"/>
      <c r="O548" s="175"/>
      <c r="P548" s="586"/>
      <c r="Q548" s="69"/>
      <c r="R548" s="69"/>
      <c r="S548" s="69"/>
      <c r="T548" s="903"/>
      <c r="U548" s="205"/>
      <c r="V548" s="69"/>
      <c r="W548" s="69"/>
      <c r="Y548" s="189"/>
    </row>
    <row r="549" spans="1:25">
      <c r="A549" s="156" t="str">
        <f t="shared" si="371"/>
        <v/>
      </c>
      <c r="B549" s="262"/>
      <c r="C549" s="727" t="s">
        <v>296</v>
      </c>
      <c r="D549" s="153"/>
      <c r="E549" s="790"/>
      <c r="F549" s="690"/>
      <c r="G549" s="690"/>
      <c r="H549" s="585"/>
      <c r="I549" s="585"/>
      <c r="J549" s="585"/>
      <c r="K549" s="585"/>
      <c r="L549" s="585"/>
      <c r="M549" s="175"/>
      <c r="N549" s="175"/>
      <c r="O549" s="175"/>
      <c r="P549" s="586"/>
      <c r="Q549" s="69"/>
      <c r="R549" s="69"/>
      <c r="S549" s="69"/>
      <c r="T549" s="903"/>
      <c r="U549" s="205"/>
      <c r="V549" s="69"/>
      <c r="W549" s="69"/>
      <c r="Y549" s="189"/>
    </row>
    <row r="550" spans="1:25">
      <c r="A550" s="310">
        <f t="shared" ref="A550" si="372">IF(ISNUMBER(E550),ROW(),"")</f>
        <v>550</v>
      </c>
      <c r="B550" s="262"/>
      <c r="C550" s="726" t="s">
        <v>1340</v>
      </c>
      <c r="D550" s="153"/>
      <c r="E550" s="678">
        <v>151500</v>
      </c>
      <c r="F550" s="629">
        <v>3000</v>
      </c>
      <c r="G550" s="629">
        <v>300</v>
      </c>
      <c r="H550" s="630">
        <v>60</v>
      </c>
      <c r="I550" s="594">
        <f>MROUND(E550*(1-$E$677/100)/F550,0.05)</f>
        <v>45.45</v>
      </c>
      <c r="J550" s="595">
        <f>MROUND($E550*(1+$E$677/100)/2*$E$682/100/$G550,0.05)</f>
        <v>4.1500000000000004</v>
      </c>
      <c r="K550" s="600">
        <f>MROUND($E550*(1+$E$677/100)/2*$E$678/100/$G550,0.05)</f>
        <v>29.150000000000002</v>
      </c>
      <c r="L550" s="601">
        <f t="shared" ref="L550" si="373">SUM(I550:K550)</f>
        <v>78.75</v>
      </c>
      <c r="M550" s="691">
        <f>MROUND($E550*$H550/100/$F550,0.05)</f>
        <v>30.3</v>
      </c>
      <c r="N550" s="650">
        <f t="shared" ref="N550" si="374">MROUND(Y550*Z550,0.05)</f>
        <v>0</v>
      </c>
      <c r="O550" s="601">
        <f t="shared" ref="O550" si="375">SUM(M550:N550)</f>
        <v>30.3</v>
      </c>
      <c r="P550" s="599">
        <f t="shared" ref="P550" si="376">O550+L550</f>
        <v>109.05</v>
      </c>
      <c r="Q550" s="69"/>
      <c r="R550" s="69"/>
      <c r="S550" s="69"/>
      <c r="T550" s="903"/>
      <c r="U550" s="208">
        <v>33</v>
      </c>
      <c r="V550" s="69"/>
      <c r="W550" s="69"/>
      <c r="Y550" s="772"/>
    </row>
    <row r="551" spans="1:25">
      <c r="A551" s="156">
        <f t="shared" si="371"/>
        <v>551</v>
      </c>
      <c r="B551" s="262"/>
      <c r="C551" s="726" t="s">
        <v>467</v>
      </c>
      <c r="D551" s="153"/>
      <c r="E551" s="678">
        <v>288750</v>
      </c>
      <c r="F551" s="629">
        <v>3000</v>
      </c>
      <c r="G551" s="629">
        <v>300</v>
      </c>
      <c r="H551" s="630">
        <v>60</v>
      </c>
      <c r="I551" s="594">
        <f>MROUND(E551*(1-$E$677/100)/F551,0.05)</f>
        <v>86.65</v>
      </c>
      <c r="J551" s="595">
        <f>MROUND($E551*(1+$E$677/100)/2*$E$682/100/$G551,0.05)</f>
        <v>7.95</v>
      </c>
      <c r="K551" s="600">
        <f>MROUND($E551*(1+$E$677/100)/2*$E$678/100/$G551,0.05)</f>
        <v>55.6</v>
      </c>
      <c r="L551" s="601">
        <f t="shared" ref="L551:L553" si="377">SUM(I551:K551)</f>
        <v>150.20000000000002</v>
      </c>
      <c r="M551" s="691">
        <f>MROUND($E551*$H551/100/$F551,0.05)</f>
        <v>57.75</v>
      </c>
      <c r="N551" s="650">
        <f t="shared" ref="N551:N553" si="378">MROUND(Y551*Z551,0.05)</f>
        <v>0</v>
      </c>
      <c r="O551" s="601">
        <f t="shared" ref="O551:O553" si="379">SUM(M551:N551)</f>
        <v>57.75</v>
      </c>
      <c r="P551" s="599">
        <f t="shared" ref="P551:P553" si="380">O551+L551</f>
        <v>207.95000000000002</v>
      </c>
      <c r="Q551" s="69"/>
      <c r="R551" s="69"/>
      <c r="S551" s="69"/>
      <c r="T551" s="903"/>
      <c r="U551" s="208">
        <v>33</v>
      </c>
      <c r="V551" s="69"/>
      <c r="W551" s="69"/>
      <c r="Y551" s="189"/>
    </row>
    <row r="552" spans="1:25">
      <c r="A552" s="256">
        <f>IF(ISNUMBER(E552),ROW(),"")</f>
        <v>552</v>
      </c>
      <c r="B552" s="262"/>
      <c r="C552" s="726" t="s">
        <v>468</v>
      </c>
      <c r="D552" s="153"/>
      <c r="E552" s="678">
        <v>624500</v>
      </c>
      <c r="F552" s="629">
        <v>3000</v>
      </c>
      <c r="G552" s="629">
        <v>300</v>
      </c>
      <c r="H552" s="630">
        <v>60</v>
      </c>
      <c r="I552" s="594">
        <f>MROUND(E552*(1-$E$677/100)/F552,0.05)</f>
        <v>187.35000000000002</v>
      </c>
      <c r="J552" s="595">
        <f>MROUND($E552*(1+$E$677/100)/2*$E$682/100/$G552,0.05)</f>
        <v>17.150000000000002</v>
      </c>
      <c r="K552" s="600">
        <f>MROUND($E552*(1+$E$677/100)/2*$E$678/100/$G552,0.05)</f>
        <v>120.2</v>
      </c>
      <c r="L552" s="601">
        <f t="shared" si="377"/>
        <v>324.70000000000005</v>
      </c>
      <c r="M552" s="691">
        <f>MROUND($E552*$H552/100/$F552,0.05)</f>
        <v>124.9</v>
      </c>
      <c r="N552" s="650">
        <f t="shared" si="378"/>
        <v>0</v>
      </c>
      <c r="O552" s="601">
        <f t="shared" si="379"/>
        <v>124.9</v>
      </c>
      <c r="P552" s="599">
        <f t="shared" si="380"/>
        <v>449.6</v>
      </c>
      <c r="Q552" s="69"/>
      <c r="R552" s="69"/>
      <c r="S552" s="69"/>
      <c r="T552" s="903"/>
      <c r="U552" s="208">
        <v>50</v>
      </c>
      <c r="V552" s="69"/>
      <c r="W552" s="69"/>
      <c r="Y552" s="189"/>
    </row>
    <row r="553" spans="1:25">
      <c r="A553" s="256">
        <f t="shared" si="371"/>
        <v>553</v>
      </c>
      <c r="B553" s="262"/>
      <c r="C553" s="726" t="s">
        <v>466</v>
      </c>
      <c r="D553" s="153"/>
      <c r="E553" s="678">
        <v>849500</v>
      </c>
      <c r="F553" s="629">
        <v>3000</v>
      </c>
      <c r="G553" s="629">
        <v>300</v>
      </c>
      <c r="H553" s="630">
        <v>60</v>
      </c>
      <c r="I553" s="594">
        <f>MROUND(E553*(1-$E$677/100)/F553,0.05)</f>
        <v>254.85000000000002</v>
      </c>
      <c r="J553" s="595">
        <f>MROUND($E553*(1+$E$677/100)/2*$E$682/100/$G553,0.05)</f>
        <v>23.35</v>
      </c>
      <c r="K553" s="600">
        <f>MROUND($E553*(1+$E$677/100)/2*$E$678/100/$G553,0.05)</f>
        <v>163.55000000000001</v>
      </c>
      <c r="L553" s="601">
        <f t="shared" si="377"/>
        <v>441.75000000000006</v>
      </c>
      <c r="M553" s="691">
        <f>MROUND($E553*$H553/100/$F553,0.05)</f>
        <v>169.9</v>
      </c>
      <c r="N553" s="650">
        <f t="shared" si="378"/>
        <v>0</v>
      </c>
      <c r="O553" s="601">
        <f t="shared" si="379"/>
        <v>169.9</v>
      </c>
      <c r="P553" s="599">
        <f t="shared" si="380"/>
        <v>611.65000000000009</v>
      </c>
      <c r="Q553" s="69"/>
      <c r="R553" s="69"/>
      <c r="S553" s="69"/>
      <c r="T553" s="903"/>
      <c r="U553" s="208">
        <v>60</v>
      </c>
      <c r="V553" s="69"/>
      <c r="W553" s="69"/>
      <c r="Y553" s="189"/>
    </row>
    <row r="554" spans="1:25">
      <c r="A554" s="156" t="str">
        <f t="shared" si="371"/>
        <v/>
      </c>
      <c r="C554" s="823"/>
      <c r="D554" s="170"/>
      <c r="E554" s="563"/>
      <c r="F554" s="692"/>
      <c r="G554" s="692"/>
      <c r="H554" s="692"/>
      <c r="I554" s="605"/>
      <c r="J554" s="606"/>
      <c r="K554" s="605"/>
      <c r="L554" s="607"/>
      <c r="M554" s="608"/>
      <c r="N554" s="608"/>
      <c r="O554" s="607"/>
      <c r="P554" s="609"/>
      <c r="U554" s="207"/>
      <c r="Y554" s="189"/>
    </row>
    <row r="555" spans="1:25">
      <c r="A555" s="156" t="str">
        <f t="shared" si="371"/>
        <v/>
      </c>
      <c r="B555" s="263"/>
      <c r="C555" s="828"/>
      <c r="D555" s="829"/>
      <c r="E555" s="564"/>
      <c r="F555" s="174"/>
      <c r="G555" s="174"/>
      <c r="H555" s="174"/>
      <c r="I555" s="174"/>
      <c r="J555" s="174"/>
      <c r="K555" s="174"/>
      <c r="L555" s="174"/>
      <c r="M555" s="174"/>
      <c r="N555" s="174"/>
      <c r="O555" s="174"/>
      <c r="P555" s="174"/>
      <c r="Q555" s="65"/>
      <c r="R555" s="183"/>
      <c r="S555" s="310"/>
      <c r="T555" s="904"/>
      <c r="U555" s="203"/>
      <c r="V555" s="183"/>
      <c r="W555" s="183"/>
      <c r="Y555" s="189"/>
    </row>
    <row r="556" spans="1:25" ht="13.5" thickBot="1">
      <c r="A556" s="156" t="str">
        <f t="shared" si="371"/>
        <v/>
      </c>
      <c r="B556" s="266">
        <v>14.02</v>
      </c>
      <c r="C556" s="819" t="s">
        <v>245</v>
      </c>
      <c r="D556" s="832"/>
      <c r="E556" s="713"/>
      <c r="F556" s="683"/>
      <c r="G556" s="683"/>
      <c r="H556" s="684"/>
      <c r="I556" s="684"/>
      <c r="J556" s="684"/>
      <c r="K556" s="684"/>
      <c r="L556" s="684"/>
      <c r="M556" s="685"/>
      <c r="N556" s="685"/>
      <c r="O556" s="685"/>
      <c r="P556" s="697" t="s">
        <v>925</v>
      </c>
      <c r="U556" s="204"/>
      <c r="Y556" s="189"/>
    </row>
    <row r="557" spans="1:25">
      <c r="A557" s="156" t="str">
        <f t="shared" si="371"/>
        <v/>
      </c>
      <c r="B557" s="262"/>
      <c r="C557" s="816"/>
      <c r="D557" s="826"/>
      <c r="E557" s="709"/>
      <c r="F557" s="687"/>
      <c r="G557" s="687"/>
      <c r="H557" s="589"/>
      <c r="I557" s="589"/>
      <c r="J557" s="589"/>
      <c r="K557" s="589"/>
      <c r="L557" s="589"/>
      <c r="M557" s="688"/>
      <c r="N557" s="688"/>
      <c r="O557" s="688"/>
      <c r="P557" s="689"/>
      <c r="Q557" s="69"/>
      <c r="R557" s="69"/>
      <c r="S557" s="69"/>
      <c r="T557" s="903"/>
      <c r="U557" s="205"/>
      <c r="V557" s="69"/>
      <c r="W557" s="69"/>
      <c r="Y557" s="189"/>
    </row>
    <row r="558" spans="1:25">
      <c r="A558" s="156">
        <f t="shared" si="371"/>
        <v>558</v>
      </c>
      <c r="C558" s="821" t="s">
        <v>399</v>
      </c>
      <c r="D558" s="167"/>
      <c r="E558" s="678">
        <v>70750</v>
      </c>
      <c r="F558" s="629">
        <v>3000</v>
      </c>
      <c r="G558" s="629">
        <v>300</v>
      </c>
      <c r="H558" s="630">
        <v>50</v>
      </c>
      <c r="I558" s="594">
        <f>MROUND(E558*(1-$E$677/100)/F558,0.05)</f>
        <v>21.25</v>
      </c>
      <c r="J558" s="595">
        <f>MROUND($E558*(1+$E$677/100)/2*$E$682/100/$G558,0.05)</f>
        <v>1.9500000000000002</v>
      </c>
      <c r="K558" s="600">
        <f>MROUND($E558*(1+$E$677/100)/2*$E$678/100/$G558,0.05)</f>
        <v>13.600000000000001</v>
      </c>
      <c r="L558" s="601">
        <f t="shared" ref="L558:L562" si="381">SUM(I558:K558)</f>
        <v>36.799999999999997</v>
      </c>
      <c r="M558" s="691">
        <f>MROUND($E558*$H558/100/$F558,0.05)</f>
        <v>11.8</v>
      </c>
      <c r="N558" s="650">
        <f t="shared" ref="N558:N562" si="382">MROUND(Y558*Z558,0.05)</f>
        <v>0</v>
      </c>
      <c r="O558" s="601">
        <f t="shared" ref="O558:O562" si="383">SUM(M558:N558)</f>
        <v>11.8</v>
      </c>
      <c r="P558" s="599">
        <f t="shared" ref="P558:P562" si="384">O558+L558</f>
        <v>48.599999999999994</v>
      </c>
      <c r="U558" s="208"/>
      <c r="Y558" s="189"/>
    </row>
    <row r="559" spans="1:25">
      <c r="A559" s="156">
        <f t="shared" si="371"/>
        <v>559</v>
      </c>
      <c r="C559" s="821" t="s">
        <v>400</v>
      </c>
      <c r="D559" s="167"/>
      <c r="E559" s="678">
        <v>72750</v>
      </c>
      <c r="F559" s="629">
        <v>3000</v>
      </c>
      <c r="G559" s="629">
        <v>300</v>
      </c>
      <c r="H559" s="630">
        <v>50</v>
      </c>
      <c r="I559" s="594">
        <f>MROUND(E559*(1-$E$677/100)/F559,0.05)</f>
        <v>21.8</v>
      </c>
      <c r="J559" s="595">
        <f>MROUND($E559*(1+$E$677/100)/2*$E$682/100/$G559,0.05)</f>
        <v>2</v>
      </c>
      <c r="K559" s="600">
        <f>MROUND($E559*(1+$E$677/100)/2*$E$678/100/$G559,0.05)</f>
        <v>14</v>
      </c>
      <c r="L559" s="601">
        <f t="shared" si="381"/>
        <v>37.799999999999997</v>
      </c>
      <c r="M559" s="691">
        <f>MROUND($E559*$H559/100/$F559,0.05)</f>
        <v>12.15</v>
      </c>
      <c r="N559" s="650">
        <f t="shared" si="382"/>
        <v>0</v>
      </c>
      <c r="O559" s="601">
        <f t="shared" si="383"/>
        <v>12.15</v>
      </c>
      <c r="P559" s="599">
        <f t="shared" si="384"/>
        <v>49.949999999999996</v>
      </c>
      <c r="U559" s="208"/>
      <c r="Y559" s="189"/>
    </row>
    <row r="560" spans="1:25">
      <c r="A560" s="156">
        <f t="shared" si="371"/>
        <v>560</v>
      </c>
      <c r="C560" s="821" t="s">
        <v>401</v>
      </c>
      <c r="D560" s="167"/>
      <c r="E560" s="678">
        <v>84500</v>
      </c>
      <c r="F560" s="629">
        <v>3000</v>
      </c>
      <c r="G560" s="629">
        <v>300</v>
      </c>
      <c r="H560" s="630">
        <v>50</v>
      </c>
      <c r="I560" s="594">
        <f>MROUND(E560*(1-$E$677/100)/F560,0.05)</f>
        <v>25.35</v>
      </c>
      <c r="J560" s="595">
        <f>MROUND($E560*(1+$E$677/100)/2*$E$682/100/$G560,0.05)</f>
        <v>2.3000000000000003</v>
      </c>
      <c r="K560" s="600">
        <f>MROUND($E560*(1+$E$677/100)/2*$E$678/100/$G560,0.05)</f>
        <v>16.25</v>
      </c>
      <c r="L560" s="601">
        <f t="shared" si="381"/>
        <v>43.900000000000006</v>
      </c>
      <c r="M560" s="691">
        <f>MROUND($E560*$H560/100/$F560,0.05)</f>
        <v>14.100000000000001</v>
      </c>
      <c r="N560" s="650">
        <f t="shared" si="382"/>
        <v>0</v>
      </c>
      <c r="O560" s="601">
        <f t="shared" si="383"/>
        <v>14.100000000000001</v>
      </c>
      <c r="P560" s="599">
        <f t="shared" si="384"/>
        <v>58.000000000000007</v>
      </c>
      <c r="U560" s="208"/>
      <c r="Y560" s="189"/>
    </row>
    <row r="561" spans="1:26">
      <c r="A561" s="156">
        <f t="shared" si="371"/>
        <v>561</v>
      </c>
      <c r="C561" s="821" t="s">
        <v>402</v>
      </c>
      <c r="D561" s="167"/>
      <c r="E561" s="678">
        <v>78250</v>
      </c>
      <c r="F561" s="629">
        <v>3000</v>
      </c>
      <c r="G561" s="629">
        <v>300</v>
      </c>
      <c r="H561" s="630">
        <v>50</v>
      </c>
      <c r="I561" s="594">
        <f>MROUND(E561*(1-$E$677/100)/F561,0.05)</f>
        <v>23.5</v>
      </c>
      <c r="J561" s="595">
        <f>MROUND($E561*(1+$E$677/100)/2*$E$682/100/$G561,0.05)</f>
        <v>2.15</v>
      </c>
      <c r="K561" s="600">
        <f>MROUND($E561*(1+$E$677/100)/2*$E$678/100/$G561,0.05)</f>
        <v>15.05</v>
      </c>
      <c r="L561" s="601">
        <f t="shared" si="381"/>
        <v>40.700000000000003</v>
      </c>
      <c r="M561" s="691">
        <f>MROUND($E561*$H561/100/$F561,0.05)</f>
        <v>13.05</v>
      </c>
      <c r="N561" s="650">
        <f t="shared" si="382"/>
        <v>0</v>
      </c>
      <c r="O561" s="601">
        <f t="shared" si="383"/>
        <v>13.05</v>
      </c>
      <c r="P561" s="599">
        <f t="shared" si="384"/>
        <v>53.75</v>
      </c>
      <c r="U561" s="208"/>
      <c r="Y561" s="189"/>
    </row>
    <row r="562" spans="1:26">
      <c r="A562" s="156">
        <f t="shared" si="371"/>
        <v>562</v>
      </c>
      <c r="C562" s="821" t="s">
        <v>403</v>
      </c>
      <c r="D562" s="167"/>
      <c r="E562" s="678">
        <v>200000</v>
      </c>
      <c r="F562" s="629">
        <v>3000</v>
      </c>
      <c r="G562" s="629">
        <v>300</v>
      </c>
      <c r="H562" s="630">
        <v>50</v>
      </c>
      <c r="I562" s="594">
        <f>MROUND(E562*(1-$E$677/100)/F562,0.05)</f>
        <v>60</v>
      </c>
      <c r="J562" s="595">
        <f>MROUND($E562*(1+$E$677/100)/2*$E$682/100/$G562,0.05)</f>
        <v>5.5</v>
      </c>
      <c r="K562" s="600">
        <f>MROUND($E562*(1+$E$677/100)/2*$E$678/100/$G562,0.05)</f>
        <v>38.5</v>
      </c>
      <c r="L562" s="601">
        <f t="shared" si="381"/>
        <v>104</v>
      </c>
      <c r="M562" s="691">
        <f>MROUND($E562*$H562/100/$F562,0.05)</f>
        <v>33.35</v>
      </c>
      <c r="N562" s="650">
        <f t="shared" si="382"/>
        <v>0</v>
      </c>
      <c r="O562" s="601">
        <f t="shared" si="383"/>
        <v>33.35</v>
      </c>
      <c r="P562" s="599">
        <f t="shared" si="384"/>
        <v>137.35</v>
      </c>
      <c r="U562" s="208"/>
      <c r="Y562" s="189"/>
    </row>
    <row r="563" spans="1:26">
      <c r="A563" s="156" t="str">
        <f t="shared" si="371"/>
        <v/>
      </c>
      <c r="C563" s="823"/>
      <c r="D563" s="170"/>
      <c r="E563" s="563"/>
      <c r="F563" s="692"/>
      <c r="G563" s="692"/>
      <c r="H563" s="692"/>
      <c r="I563" s="605"/>
      <c r="J563" s="606"/>
      <c r="K563" s="605"/>
      <c r="L563" s="607"/>
      <c r="M563" s="608"/>
      <c r="N563" s="608"/>
      <c r="O563" s="607"/>
      <c r="P563" s="609"/>
      <c r="U563" s="207"/>
      <c r="Y563" s="189"/>
    </row>
    <row r="564" spans="1:26">
      <c r="A564" s="156" t="str">
        <f t="shared" si="371"/>
        <v/>
      </c>
      <c r="B564" s="263"/>
      <c r="C564" s="828"/>
      <c r="D564" s="829"/>
      <c r="E564" s="564"/>
      <c r="F564" s="174"/>
      <c r="G564" s="174"/>
      <c r="H564" s="174"/>
      <c r="I564" s="174"/>
      <c r="J564" s="174"/>
      <c r="K564" s="174"/>
      <c r="L564" s="174"/>
      <c r="M564" s="174"/>
      <c r="N564" s="174"/>
      <c r="O564" s="174"/>
      <c r="P564" s="174"/>
      <c r="Q564" s="150"/>
      <c r="R564" s="183"/>
      <c r="S564" s="310"/>
      <c r="T564" s="904"/>
      <c r="U564" s="203"/>
      <c r="V564" s="183"/>
      <c r="W564" s="183"/>
      <c r="Y564" s="189"/>
    </row>
    <row r="565" spans="1:26">
      <c r="A565" s="310"/>
      <c r="B565" s="263"/>
      <c r="C565" s="828"/>
      <c r="D565" s="829"/>
      <c r="E565" s="564"/>
      <c r="F565" s="174"/>
      <c r="G565" s="174"/>
      <c r="H565" s="174"/>
      <c r="I565" s="174"/>
      <c r="J565" s="174"/>
      <c r="K565" s="174"/>
      <c r="L565" s="174"/>
      <c r="M565" s="174"/>
      <c r="N565" s="174"/>
      <c r="O565" s="174"/>
      <c r="P565" s="174"/>
      <c r="Q565" s="310"/>
      <c r="R565" s="310"/>
      <c r="S565" s="310"/>
      <c r="T565" s="904"/>
      <c r="U565" s="203"/>
      <c r="V565" s="310"/>
      <c r="W565" s="310"/>
      <c r="Y565" s="443"/>
    </row>
    <row r="566" spans="1:26" s="452" customFormat="1" ht="23.25" customHeight="1" thickBot="1">
      <c r="A566" s="31" t="str">
        <f t="shared" si="371"/>
        <v/>
      </c>
      <c r="B566" s="287">
        <f>ROUNDDOWN(MAX($B$8:B565),0)+1</f>
        <v>15</v>
      </c>
      <c r="C566" s="724" t="s">
        <v>1056</v>
      </c>
      <c r="D566" s="301"/>
      <c r="E566" s="558"/>
      <c r="F566" s="297"/>
      <c r="G566" s="297"/>
      <c r="H566" s="297"/>
      <c r="I566" s="579"/>
      <c r="J566" s="579"/>
      <c r="K566" s="579"/>
      <c r="L566" s="579"/>
      <c r="M566" s="298"/>
      <c r="N566" s="298"/>
      <c r="O566" s="298"/>
      <c r="P566" s="299"/>
      <c r="Q566" s="158"/>
      <c r="R566" s="158"/>
      <c r="S566" s="158"/>
      <c r="T566" s="902"/>
      <c r="U566" s="305"/>
      <c r="V566" s="158"/>
      <c r="W566" s="158"/>
      <c r="X566" s="159"/>
      <c r="Y566" s="160"/>
      <c r="Z566" s="161"/>
    </row>
    <row r="567" spans="1:26">
      <c r="A567" s="156" t="str">
        <f t="shared" si="371"/>
        <v/>
      </c>
      <c r="B567" s="261"/>
      <c r="C567" s="725"/>
      <c r="D567" s="153"/>
      <c r="E567" s="557"/>
      <c r="F567" s="585"/>
      <c r="G567" s="585"/>
      <c r="H567" s="585"/>
      <c r="I567" s="585"/>
      <c r="J567" s="585"/>
      <c r="K567" s="585"/>
      <c r="L567" s="585"/>
      <c r="M567" s="175"/>
      <c r="N567" s="175"/>
      <c r="O567" s="175"/>
      <c r="P567" s="585"/>
      <c r="U567" s="201"/>
      <c r="Y567" s="189"/>
    </row>
    <row r="568" spans="1:26" ht="13.5" thickBot="1">
      <c r="A568" s="156" t="str">
        <f t="shared" si="371"/>
        <v/>
      </c>
      <c r="B568" s="266">
        <f>MAX($B$8:B567)+0.01</f>
        <v>15.01</v>
      </c>
      <c r="C568" s="819" t="s">
        <v>231</v>
      </c>
      <c r="D568" s="832"/>
      <c r="E568" s="713"/>
      <c r="F568" s="683"/>
      <c r="G568" s="683"/>
      <c r="H568" s="684"/>
      <c r="I568" s="684"/>
      <c r="J568" s="684"/>
      <c r="K568" s="684"/>
      <c r="L568" s="684"/>
      <c r="M568" s="685"/>
      <c r="N568" s="685"/>
      <c r="O568" s="685"/>
      <c r="P568" s="697" t="s">
        <v>926</v>
      </c>
      <c r="S568" s="829"/>
      <c r="T568" s="905" t="s">
        <v>1225</v>
      </c>
      <c r="U568" s="204"/>
      <c r="Y568" s="189"/>
    </row>
    <row r="569" spans="1:26">
      <c r="A569" s="156" t="str">
        <f t="shared" si="371"/>
        <v/>
      </c>
      <c r="B569" s="262"/>
      <c r="C569" s="816"/>
      <c r="D569" s="826"/>
      <c r="E569" s="709"/>
      <c r="F569" s="687"/>
      <c r="G569" s="687"/>
      <c r="H569" s="589"/>
      <c r="I569" s="589"/>
      <c r="J569" s="589"/>
      <c r="K569" s="589"/>
      <c r="L569" s="589"/>
      <c r="M569" s="688"/>
      <c r="N569" s="688"/>
      <c r="O569" s="688"/>
      <c r="P569" s="689"/>
      <c r="Q569" s="69"/>
      <c r="R569" s="69"/>
      <c r="S569" s="227"/>
      <c r="T569" s="906"/>
      <c r="U569" s="205"/>
      <c r="V569" s="69"/>
      <c r="W569" s="69"/>
      <c r="Y569" s="189"/>
    </row>
    <row r="570" spans="1:26">
      <c r="A570" s="156"/>
      <c r="B570" s="261"/>
      <c r="C570" s="727" t="s">
        <v>169</v>
      </c>
      <c r="D570" s="153"/>
      <c r="E570" s="720"/>
      <c r="F570" s="708"/>
      <c r="G570" s="708"/>
      <c r="H570" s="708"/>
      <c r="I570" s="585"/>
      <c r="J570" s="641"/>
      <c r="K570" s="585"/>
      <c r="L570" s="585"/>
      <c r="M570" s="175"/>
      <c r="N570" s="175"/>
      <c r="O570" s="175"/>
      <c r="P570" s="586"/>
      <c r="S570" s="68"/>
      <c r="T570" s="906" t="s">
        <v>1225</v>
      </c>
      <c r="U570" s="205"/>
      <c r="Y570" s="189"/>
    </row>
    <row r="571" spans="1:26">
      <c r="A571" s="310">
        <f t="shared" ref="A571:A572" si="385">IF(ISNUMBER(E571),ROW(),"")</f>
        <v>571</v>
      </c>
      <c r="B571" s="262"/>
      <c r="C571" s="726" t="s">
        <v>878</v>
      </c>
      <c r="D571" s="153"/>
      <c r="E571" s="678">
        <v>50750</v>
      </c>
      <c r="F571" s="629">
        <v>10000</v>
      </c>
      <c r="G571" s="629">
        <v>500</v>
      </c>
      <c r="H571" s="630">
        <v>75</v>
      </c>
      <c r="I571" s="594">
        <f>MROUND(E571*(1-$E$677/100)/F571,0.05)</f>
        <v>4.55</v>
      </c>
      <c r="J571" s="595">
        <f>MROUND($E571*(1+$E$677/100)/2*$E$682/100/$G571,0.05)</f>
        <v>0.85000000000000009</v>
      </c>
      <c r="K571" s="600">
        <f>MROUND($E571*(1+$E$677/100)/2*$E$678/100/$G571,0.05)</f>
        <v>5.8500000000000005</v>
      </c>
      <c r="L571" s="601">
        <f t="shared" ref="L571:L573" si="386">SUM(I571:K571)</f>
        <v>11.25</v>
      </c>
      <c r="M571" s="691">
        <f>MROUND($E571*$H571/100/$F571,0.05)</f>
        <v>3.8000000000000003</v>
      </c>
      <c r="N571" s="650">
        <f t="shared" ref="N571:N573" si="387">MROUND(Y571*Z571,0.05)</f>
        <v>0</v>
      </c>
      <c r="O571" s="601">
        <f t="shared" ref="O571:O573" si="388">SUM(M571:N571)</f>
        <v>3.8000000000000003</v>
      </c>
      <c r="P571" s="599">
        <f t="shared" ref="P571:P573" si="389">O571+L571</f>
        <v>15.05</v>
      </c>
      <c r="Q571" s="69"/>
      <c r="R571" s="69"/>
      <c r="S571" s="227"/>
      <c r="T571" s="906">
        <v>2.5</v>
      </c>
      <c r="U571" s="208">
        <f>ROUNDDOWN(7.5*T571/5,0)*5</f>
        <v>15</v>
      </c>
      <c r="V571" s="69"/>
      <c r="W571" s="69"/>
      <c r="Y571" s="444"/>
      <c r="Z571" s="69"/>
    </row>
    <row r="572" spans="1:26">
      <c r="A572" s="310">
        <f t="shared" si="385"/>
        <v>572</v>
      </c>
      <c r="B572" s="262"/>
      <c r="C572" s="726" t="s">
        <v>1061</v>
      </c>
      <c r="D572" s="153"/>
      <c r="E572" s="678">
        <v>47500</v>
      </c>
      <c r="F572" s="629">
        <v>10000</v>
      </c>
      <c r="G572" s="629">
        <v>500</v>
      </c>
      <c r="H572" s="630">
        <v>75</v>
      </c>
      <c r="I572" s="594">
        <f>MROUND(E572*(1-$E$677/100)/F572,0.05)</f>
        <v>4.3</v>
      </c>
      <c r="J572" s="595">
        <f>MROUND($E572*(1+$E$677/100)/2*$E$682/100/$G572,0.05)</f>
        <v>0.8</v>
      </c>
      <c r="K572" s="600">
        <f>MROUND($E572*(1+$E$677/100)/2*$E$678/100/$G572,0.05)</f>
        <v>5.5</v>
      </c>
      <c r="L572" s="601">
        <f t="shared" si="386"/>
        <v>10.6</v>
      </c>
      <c r="M572" s="691">
        <f>MROUND($E572*$H572/100/$F572,0.05)</f>
        <v>3.5500000000000003</v>
      </c>
      <c r="N572" s="650">
        <f t="shared" si="387"/>
        <v>0</v>
      </c>
      <c r="O572" s="601">
        <f t="shared" si="388"/>
        <v>3.5500000000000003</v>
      </c>
      <c r="P572" s="599">
        <f t="shared" si="389"/>
        <v>14.15</v>
      </c>
      <c r="Q572" s="69"/>
      <c r="R572" s="69"/>
      <c r="S572" s="227"/>
      <c r="T572" s="906">
        <v>4</v>
      </c>
      <c r="U572" s="208">
        <f t="shared" ref="U572:U573" si="390">ROUNDDOWN(7.5*T572/5,0)*5</f>
        <v>30</v>
      </c>
      <c r="V572" s="69"/>
      <c r="W572" s="69"/>
      <c r="Y572" s="546"/>
      <c r="Z572" s="69"/>
    </row>
    <row r="573" spans="1:26">
      <c r="A573" s="310">
        <f t="shared" ref="A573" si="391">IF(ISNUMBER(E573),ROW(),"")</f>
        <v>573</v>
      </c>
      <c r="B573" s="262"/>
      <c r="C573" s="726" t="s">
        <v>1062</v>
      </c>
      <c r="D573" s="153"/>
      <c r="E573" s="678">
        <v>71250</v>
      </c>
      <c r="F573" s="629">
        <v>10000</v>
      </c>
      <c r="G573" s="629">
        <v>500</v>
      </c>
      <c r="H573" s="630">
        <v>75</v>
      </c>
      <c r="I573" s="594">
        <f>MROUND(E573*(1-$E$677/100)/F573,0.05)</f>
        <v>6.4</v>
      </c>
      <c r="J573" s="595">
        <f>MROUND($E573*(1+$E$677/100)/2*$E$682/100/$G573,0.05)</f>
        <v>1.2000000000000002</v>
      </c>
      <c r="K573" s="600">
        <f>MROUND($E573*(1+$E$677/100)/2*$E$678/100/$G573,0.05)</f>
        <v>8.25</v>
      </c>
      <c r="L573" s="601">
        <f t="shared" si="386"/>
        <v>15.850000000000001</v>
      </c>
      <c r="M573" s="691">
        <f>MROUND($E573*$H573/100/$F573,0.05)</f>
        <v>5.3500000000000005</v>
      </c>
      <c r="N573" s="650">
        <f t="shared" si="387"/>
        <v>0</v>
      </c>
      <c r="O573" s="601">
        <f t="shared" si="388"/>
        <v>5.3500000000000005</v>
      </c>
      <c r="P573" s="599">
        <f t="shared" si="389"/>
        <v>21.200000000000003</v>
      </c>
      <c r="Q573" s="69"/>
      <c r="R573" s="69"/>
      <c r="S573" s="227"/>
      <c r="T573" s="906">
        <v>6</v>
      </c>
      <c r="U573" s="208">
        <f t="shared" si="390"/>
        <v>45</v>
      </c>
      <c r="V573" s="69"/>
      <c r="W573" s="69"/>
      <c r="Y573" s="537"/>
      <c r="Z573" s="69"/>
    </row>
    <row r="574" spans="1:26">
      <c r="A574" s="156" t="str">
        <f t="shared" si="371"/>
        <v/>
      </c>
      <c r="B574" s="261"/>
      <c r="C574" s="726"/>
      <c r="D574" s="153"/>
      <c r="E574" s="718"/>
      <c r="F574" s="708"/>
      <c r="G574" s="708"/>
      <c r="H574" s="708"/>
      <c r="I574" s="585"/>
      <c r="J574" s="641"/>
      <c r="K574" s="585"/>
      <c r="L574" s="585"/>
      <c r="M574" s="175"/>
      <c r="N574" s="175"/>
      <c r="O574" s="175"/>
      <c r="P574" s="586"/>
      <c r="S574" s="68"/>
      <c r="T574" s="905"/>
      <c r="U574" s="205"/>
      <c r="Y574" s="189"/>
      <c r="Z574" s="69"/>
    </row>
    <row r="575" spans="1:26">
      <c r="A575" s="156" t="str">
        <f t="shared" si="371"/>
        <v/>
      </c>
      <c r="B575" s="261"/>
      <c r="C575" s="727" t="s">
        <v>404</v>
      </c>
      <c r="D575" s="153"/>
      <c r="E575" s="718"/>
      <c r="F575" s="708"/>
      <c r="G575" s="708"/>
      <c r="H575" s="708"/>
      <c r="I575" s="585"/>
      <c r="J575" s="641"/>
      <c r="K575" s="585"/>
      <c r="L575" s="585"/>
      <c r="M575" s="175"/>
      <c r="N575" s="175"/>
      <c r="O575" s="175"/>
      <c r="P575" s="586"/>
      <c r="S575" s="68"/>
      <c r="T575" s="906" t="s">
        <v>1225</v>
      </c>
      <c r="U575" s="205"/>
      <c r="Y575" s="189"/>
      <c r="Z575" s="69"/>
    </row>
    <row r="576" spans="1:26">
      <c r="A576" s="310">
        <f t="shared" ref="A576" si="392">IF(ISNUMBER(E576),ROW(),"")</f>
        <v>576</v>
      </c>
      <c r="B576" s="262"/>
      <c r="C576" s="726" t="s">
        <v>965</v>
      </c>
      <c r="D576" s="153"/>
      <c r="E576" s="678">
        <v>71250</v>
      </c>
      <c r="F576" s="629">
        <v>10000</v>
      </c>
      <c r="G576" s="629">
        <v>500</v>
      </c>
      <c r="H576" s="630">
        <v>75</v>
      </c>
      <c r="I576" s="594">
        <f>MROUND(E576*(1-$E$677/100)/F576,0.05)</f>
        <v>6.4</v>
      </c>
      <c r="J576" s="595">
        <f>MROUND($E576*(1+$E$677/100)/2*$E$682/100/$G576,0.05)</f>
        <v>1.2000000000000002</v>
      </c>
      <c r="K576" s="600">
        <f>MROUND($E576*(1+$E$677/100)/2*$E$678/100/$G576,0.05)</f>
        <v>8.25</v>
      </c>
      <c r="L576" s="601">
        <f t="shared" ref="L576:L578" si="393">SUM(I576:K576)</f>
        <v>15.850000000000001</v>
      </c>
      <c r="M576" s="691">
        <f>MROUND($E576*$H576/100/$F576,0.05)</f>
        <v>5.3500000000000005</v>
      </c>
      <c r="N576" s="650">
        <f t="shared" ref="N576:N578" si="394">MROUND(Y576*Z576,0.05)</f>
        <v>0</v>
      </c>
      <c r="O576" s="601">
        <f t="shared" ref="O576:O578" si="395">SUM(M576:N576)</f>
        <v>5.3500000000000005</v>
      </c>
      <c r="P576" s="599">
        <f t="shared" ref="P576:P578" si="396">O576+L576</f>
        <v>21.200000000000003</v>
      </c>
      <c r="Q576" s="69"/>
      <c r="R576" s="69"/>
      <c r="S576" s="227"/>
      <c r="T576" s="906">
        <v>3</v>
      </c>
      <c r="U576" s="208">
        <f t="shared" ref="U576:U578" si="397">ROUNDDOWN(7.5*T576/5,0)*5</f>
        <v>20</v>
      </c>
      <c r="V576" s="69"/>
      <c r="W576" s="69"/>
      <c r="Y576" s="533"/>
      <c r="Z576" s="69"/>
    </row>
    <row r="577" spans="1:26">
      <c r="A577" s="310">
        <f t="shared" si="371"/>
        <v>577</v>
      </c>
      <c r="B577" s="262"/>
      <c r="C577" s="726" t="s">
        <v>962</v>
      </c>
      <c r="D577" s="153"/>
      <c r="E577" s="678">
        <v>88000</v>
      </c>
      <c r="F577" s="629">
        <v>10000</v>
      </c>
      <c r="G577" s="629">
        <v>500</v>
      </c>
      <c r="H577" s="630">
        <v>75</v>
      </c>
      <c r="I577" s="594">
        <f>MROUND(E577*(1-$E$677/100)/F577,0.05)</f>
        <v>7.9</v>
      </c>
      <c r="J577" s="595">
        <f>MROUND($E577*(1+$E$677/100)/2*$E$682/100/$G577,0.05)</f>
        <v>1.4500000000000002</v>
      </c>
      <c r="K577" s="600">
        <f>MROUND($E577*(1+$E$677/100)/2*$E$678/100/$G577,0.05)</f>
        <v>10.15</v>
      </c>
      <c r="L577" s="601">
        <f t="shared" si="393"/>
        <v>19.5</v>
      </c>
      <c r="M577" s="691">
        <f>MROUND($E577*$H577/100/$F577,0.05)</f>
        <v>6.6000000000000005</v>
      </c>
      <c r="N577" s="650">
        <f t="shared" si="394"/>
        <v>0</v>
      </c>
      <c r="O577" s="601">
        <f t="shared" si="395"/>
        <v>6.6000000000000005</v>
      </c>
      <c r="P577" s="599">
        <f t="shared" si="396"/>
        <v>26.1</v>
      </c>
      <c r="Q577" s="69"/>
      <c r="R577" s="69"/>
      <c r="S577" s="227"/>
      <c r="T577" s="906">
        <v>5</v>
      </c>
      <c r="U577" s="208">
        <f t="shared" si="397"/>
        <v>35</v>
      </c>
      <c r="V577" s="69"/>
      <c r="W577" s="69"/>
      <c r="Y577" s="533"/>
      <c r="Z577" s="69"/>
    </row>
    <row r="578" spans="1:26">
      <c r="A578" s="310">
        <f t="shared" ref="A578" si="398">IF(ISNUMBER(E578),ROW(),"")</f>
        <v>578</v>
      </c>
      <c r="B578" s="262"/>
      <c r="C578" s="726" t="s">
        <v>1002</v>
      </c>
      <c r="D578" s="153"/>
      <c r="E578" s="678">
        <v>120750</v>
      </c>
      <c r="F578" s="629">
        <v>10000</v>
      </c>
      <c r="G578" s="629">
        <v>500</v>
      </c>
      <c r="H578" s="630">
        <v>75</v>
      </c>
      <c r="I578" s="594">
        <f>MROUND(E578*(1-$E$677/100)/F578,0.05)</f>
        <v>10.850000000000001</v>
      </c>
      <c r="J578" s="595">
        <f>MROUND($E578*(1+$E$677/100)/2*$E$682/100/$G578,0.05)</f>
        <v>2</v>
      </c>
      <c r="K578" s="600">
        <f>MROUND($E578*(1+$E$677/100)/2*$E$678/100/$G578,0.05)</f>
        <v>13.950000000000001</v>
      </c>
      <c r="L578" s="601">
        <f t="shared" si="393"/>
        <v>26.800000000000004</v>
      </c>
      <c r="M578" s="691">
        <f>MROUND($E578*$H578/100/$F578,0.05)</f>
        <v>9.0500000000000007</v>
      </c>
      <c r="N578" s="650">
        <f t="shared" si="394"/>
        <v>0</v>
      </c>
      <c r="O578" s="601">
        <f t="shared" si="395"/>
        <v>9.0500000000000007</v>
      </c>
      <c r="P578" s="599">
        <f t="shared" si="396"/>
        <v>35.850000000000009</v>
      </c>
      <c r="Q578" s="69"/>
      <c r="R578" s="69"/>
      <c r="S578" s="227"/>
      <c r="T578" s="906">
        <v>7</v>
      </c>
      <c r="U578" s="208">
        <f t="shared" si="397"/>
        <v>50</v>
      </c>
      <c r="V578" s="69"/>
      <c r="W578" s="69"/>
      <c r="Y578" s="537"/>
      <c r="Z578" s="69"/>
    </row>
    <row r="579" spans="1:26">
      <c r="A579" s="156" t="str">
        <f t="shared" si="371"/>
        <v/>
      </c>
      <c r="B579" s="261"/>
      <c r="C579" s="726"/>
      <c r="D579" s="153"/>
      <c r="E579" s="718"/>
      <c r="F579" s="708"/>
      <c r="G579" s="708"/>
      <c r="H579" s="708"/>
      <c r="I579" s="585"/>
      <c r="J579" s="641"/>
      <c r="K579" s="585"/>
      <c r="L579" s="585"/>
      <c r="M579" s="175"/>
      <c r="N579" s="175"/>
      <c r="O579" s="175"/>
      <c r="P579" s="586"/>
      <c r="S579" s="68"/>
      <c r="T579" s="905"/>
      <c r="U579" s="205"/>
      <c r="Y579" s="189"/>
      <c r="Z579" s="69"/>
    </row>
    <row r="580" spans="1:26">
      <c r="A580" s="156" t="str">
        <f t="shared" si="371"/>
        <v/>
      </c>
      <c r="B580" s="261"/>
      <c r="C580" s="727" t="s">
        <v>405</v>
      </c>
      <c r="D580" s="153"/>
      <c r="E580" s="718"/>
      <c r="F580" s="708"/>
      <c r="G580" s="708"/>
      <c r="H580" s="708"/>
      <c r="I580" s="585"/>
      <c r="J580" s="641"/>
      <c r="K580" s="585"/>
      <c r="L580" s="585"/>
      <c r="M580" s="175"/>
      <c r="N580" s="175"/>
      <c r="O580" s="175"/>
      <c r="P580" s="586"/>
      <c r="S580" s="68"/>
      <c r="T580" s="906" t="s">
        <v>1225</v>
      </c>
      <c r="U580" s="205"/>
      <c r="Y580" s="189"/>
      <c r="Z580" s="69"/>
    </row>
    <row r="581" spans="1:26">
      <c r="A581" s="156">
        <f t="shared" si="371"/>
        <v>581</v>
      </c>
      <c r="B581" s="261"/>
      <c r="C581" s="835" t="s">
        <v>1057</v>
      </c>
      <c r="D581" s="167"/>
      <c r="E581" s="678">
        <v>54500</v>
      </c>
      <c r="F581" s="648">
        <v>10000</v>
      </c>
      <c r="G581" s="648">
        <v>500</v>
      </c>
      <c r="H581" s="649">
        <v>75</v>
      </c>
      <c r="I581" s="594">
        <f t="shared" ref="I581:I588" si="399">MROUND(E581*(1-$E$677/100)/F581,0.05)</f>
        <v>4.9000000000000004</v>
      </c>
      <c r="J581" s="595">
        <f t="shared" ref="J581:J588" si="400">MROUND($E581*(1+$E$677/100)/2*$E$682/100/$G581,0.05)</f>
        <v>0.9</v>
      </c>
      <c r="K581" s="600">
        <f t="shared" ref="K581:K588" si="401">MROUND($E581*(1+$E$677/100)/2*$E$678/100/$G581,0.05)</f>
        <v>6.3000000000000007</v>
      </c>
      <c r="L581" s="601">
        <f t="shared" ref="L581:L588" si="402">SUM(I581:K581)</f>
        <v>12.100000000000001</v>
      </c>
      <c r="M581" s="691">
        <f t="shared" ref="M581:M588" si="403">MROUND($E581*$H581/100/$F581,0.05)</f>
        <v>4.1000000000000005</v>
      </c>
      <c r="N581" s="650">
        <f t="shared" ref="N581:N588" si="404">MROUND(Y581*Z581,0.05)</f>
        <v>0</v>
      </c>
      <c r="O581" s="601">
        <f t="shared" ref="O581:O588" si="405">SUM(M581:N581)</f>
        <v>4.1000000000000005</v>
      </c>
      <c r="P581" s="599">
        <f t="shared" ref="P581:P588" si="406">O581+L581</f>
        <v>16.200000000000003</v>
      </c>
      <c r="S581" s="68"/>
      <c r="T581" s="905">
        <v>2</v>
      </c>
      <c r="U581" s="208">
        <f t="shared" ref="U581:U588" si="407">ROUNDDOWN(7.5*T581/5,0)*5</f>
        <v>15</v>
      </c>
      <c r="Y581" s="189"/>
      <c r="Z581" s="69"/>
    </row>
    <row r="582" spans="1:26">
      <c r="A582" s="156">
        <f t="shared" si="371"/>
        <v>582</v>
      </c>
      <c r="B582" s="261"/>
      <c r="C582" s="835" t="s">
        <v>1078</v>
      </c>
      <c r="D582" s="167"/>
      <c r="E582" s="678">
        <v>71500</v>
      </c>
      <c r="F582" s="648">
        <v>10000</v>
      </c>
      <c r="G582" s="648">
        <v>500</v>
      </c>
      <c r="H582" s="649">
        <v>75</v>
      </c>
      <c r="I582" s="594">
        <f t="shared" si="399"/>
        <v>6.45</v>
      </c>
      <c r="J582" s="595">
        <f t="shared" si="400"/>
        <v>1.2000000000000002</v>
      </c>
      <c r="K582" s="600">
        <f t="shared" si="401"/>
        <v>8.25</v>
      </c>
      <c r="L582" s="601">
        <f t="shared" si="402"/>
        <v>15.9</v>
      </c>
      <c r="M582" s="691">
        <f t="shared" si="403"/>
        <v>5.3500000000000005</v>
      </c>
      <c r="N582" s="650">
        <f t="shared" si="404"/>
        <v>0</v>
      </c>
      <c r="O582" s="601">
        <f t="shared" si="405"/>
        <v>5.3500000000000005</v>
      </c>
      <c r="P582" s="599">
        <f t="shared" si="406"/>
        <v>21.25</v>
      </c>
      <c r="S582" s="68"/>
      <c r="T582" s="905">
        <v>4</v>
      </c>
      <c r="U582" s="208">
        <f t="shared" si="407"/>
        <v>30</v>
      </c>
      <c r="Y582" s="189"/>
      <c r="Z582" s="69"/>
    </row>
    <row r="583" spans="1:26">
      <c r="A583" s="156">
        <f t="shared" si="371"/>
        <v>583</v>
      </c>
      <c r="B583" s="261"/>
      <c r="C583" s="835" t="s">
        <v>1058</v>
      </c>
      <c r="D583" s="167"/>
      <c r="E583" s="678">
        <v>132500</v>
      </c>
      <c r="F583" s="648">
        <v>10000</v>
      </c>
      <c r="G583" s="648">
        <v>500</v>
      </c>
      <c r="H583" s="649">
        <v>75</v>
      </c>
      <c r="I583" s="594">
        <f t="shared" si="399"/>
        <v>11.950000000000001</v>
      </c>
      <c r="J583" s="595">
        <f t="shared" si="400"/>
        <v>2.2000000000000002</v>
      </c>
      <c r="K583" s="600">
        <f t="shared" si="401"/>
        <v>15.3</v>
      </c>
      <c r="L583" s="601">
        <f t="shared" si="402"/>
        <v>29.450000000000003</v>
      </c>
      <c r="M583" s="691">
        <f t="shared" si="403"/>
        <v>9.9500000000000011</v>
      </c>
      <c r="N583" s="650">
        <f t="shared" si="404"/>
        <v>0</v>
      </c>
      <c r="O583" s="601">
        <f t="shared" si="405"/>
        <v>9.9500000000000011</v>
      </c>
      <c r="P583" s="599">
        <f t="shared" si="406"/>
        <v>39.400000000000006</v>
      </c>
      <c r="S583" s="68"/>
      <c r="T583" s="905">
        <v>6</v>
      </c>
      <c r="U583" s="208">
        <f t="shared" si="407"/>
        <v>45</v>
      </c>
      <c r="Y583" s="189"/>
      <c r="Z583" s="69"/>
    </row>
    <row r="584" spans="1:26">
      <c r="A584" s="156">
        <f t="shared" si="371"/>
        <v>584</v>
      </c>
      <c r="B584" s="261"/>
      <c r="C584" s="835" t="s">
        <v>1059</v>
      </c>
      <c r="D584" s="167"/>
      <c r="E584" s="678">
        <v>135500</v>
      </c>
      <c r="F584" s="648">
        <v>10000</v>
      </c>
      <c r="G584" s="648">
        <v>500</v>
      </c>
      <c r="H584" s="649">
        <v>75</v>
      </c>
      <c r="I584" s="594">
        <f t="shared" si="399"/>
        <v>12.200000000000001</v>
      </c>
      <c r="J584" s="595">
        <f t="shared" si="400"/>
        <v>2.25</v>
      </c>
      <c r="K584" s="600">
        <f t="shared" si="401"/>
        <v>15.65</v>
      </c>
      <c r="L584" s="601">
        <f t="shared" si="402"/>
        <v>30.1</v>
      </c>
      <c r="M584" s="691">
        <f t="shared" si="403"/>
        <v>10.15</v>
      </c>
      <c r="N584" s="650">
        <f t="shared" si="404"/>
        <v>0</v>
      </c>
      <c r="O584" s="601">
        <f t="shared" si="405"/>
        <v>10.15</v>
      </c>
      <c r="P584" s="599">
        <f t="shared" si="406"/>
        <v>40.25</v>
      </c>
      <c r="S584" s="68"/>
      <c r="T584" s="905">
        <v>8</v>
      </c>
      <c r="U584" s="208">
        <f t="shared" si="407"/>
        <v>60</v>
      </c>
      <c r="Y584" s="189"/>
      <c r="Z584" s="69"/>
    </row>
    <row r="585" spans="1:26">
      <c r="A585" s="156">
        <f t="shared" si="371"/>
        <v>585</v>
      </c>
      <c r="B585" s="261"/>
      <c r="C585" s="835" t="s">
        <v>1060</v>
      </c>
      <c r="D585" s="167"/>
      <c r="E585" s="678">
        <v>147250</v>
      </c>
      <c r="F585" s="648">
        <v>10000</v>
      </c>
      <c r="G585" s="648">
        <v>500</v>
      </c>
      <c r="H585" s="649">
        <v>75</v>
      </c>
      <c r="I585" s="594">
        <f t="shared" si="399"/>
        <v>13.25</v>
      </c>
      <c r="J585" s="595">
        <f t="shared" si="400"/>
        <v>2.4500000000000002</v>
      </c>
      <c r="K585" s="600">
        <f t="shared" si="401"/>
        <v>17</v>
      </c>
      <c r="L585" s="601">
        <f t="shared" si="402"/>
        <v>32.700000000000003</v>
      </c>
      <c r="M585" s="691">
        <f t="shared" si="403"/>
        <v>11.05</v>
      </c>
      <c r="N585" s="650">
        <f t="shared" si="404"/>
        <v>0</v>
      </c>
      <c r="O585" s="601">
        <f t="shared" si="405"/>
        <v>11.05</v>
      </c>
      <c r="P585" s="599">
        <f t="shared" si="406"/>
        <v>43.75</v>
      </c>
      <c r="S585" s="68"/>
      <c r="T585" s="905">
        <v>10</v>
      </c>
      <c r="U585" s="208">
        <f t="shared" si="407"/>
        <v>75</v>
      </c>
      <c r="Y585" s="189"/>
      <c r="Z585" s="69"/>
    </row>
    <row r="586" spans="1:26">
      <c r="A586" s="310">
        <f t="shared" ref="A586" si="408">IF(ISNUMBER(E586),ROW(),"")</f>
        <v>586</v>
      </c>
      <c r="B586" s="261"/>
      <c r="C586" s="835" t="s">
        <v>1076</v>
      </c>
      <c r="D586" s="167"/>
      <c r="E586" s="678">
        <v>231000</v>
      </c>
      <c r="F586" s="648">
        <v>10000</v>
      </c>
      <c r="G586" s="648">
        <v>500</v>
      </c>
      <c r="H586" s="649">
        <v>75</v>
      </c>
      <c r="I586" s="594">
        <f t="shared" si="399"/>
        <v>20.8</v>
      </c>
      <c r="J586" s="595">
        <f t="shared" si="400"/>
        <v>3.8000000000000003</v>
      </c>
      <c r="K586" s="600">
        <f t="shared" si="401"/>
        <v>26.700000000000003</v>
      </c>
      <c r="L586" s="601">
        <f t="shared" si="402"/>
        <v>51.300000000000004</v>
      </c>
      <c r="M586" s="691">
        <f t="shared" si="403"/>
        <v>17.3</v>
      </c>
      <c r="N586" s="650">
        <f t="shared" si="404"/>
        <v>0</v>
      </c>
      <c r="O586" s="601">
        <f t="shared" si="405"/>
        <v>17.3</v>
      </c>
      <c r="P586" s="599">
        <f t="shared" si="406"/>
        <v>68.600000000000009</v>
      </c>
      <c r="S586" s="68"/>
      <c r="T586" s="905">
        <v>10</v>
      </c>
      <c r="U586" s="208">
        <f t="shared" si="407"/>
        <v>75</v>
      </c>
      <c r="Y586" s="743"/>
      <c r="Z586" s="69"/>
    </row>
    <row r="587" spans="1:26">
      <c r="A587" s="310">
        <f t="shared" ref="A587" si="409">IF(ISNUMBER(E587),ROW(),"")</f>
        <v>587</v>
      </c>
      <c r="B587" s="261"/>
      <c r="C587" s="835" t="s">
        <v>1077</v>
      </c>
      <c r="D587" s="167"/>
      <c r="E587" s="678">
        <v>235500</v>
      </c>
      <c r="F587" s="648">
        <v>10000</v>
      </c>
      <c r="G587" s="648">
        <v>500</v>
      </c>
      <c r="H587" s="649">
        <v>75</v>
      </c>
      <c r="I587" s="594">
        <f t="shared" si="399"/>
        <v>21.200000000000003</v>
      </c>
      <c r="J587" s="595">
        <f t="shared" si="400"/>
        <v>3.9000000000000004</v>
      </c>
      <c r="K587" s="600">
        <f t="shared" si="401"/>
        <v>27.200000000000003</v>
      </c>
      <c r="L587" s="601">
        <f t="shared" si="402"/>
        <v>52.300000000000004</v>
      </c>
      <c r="M587" s="691">
        <f t="shared" si="403"/>
        <v>17.650000000000002</v>
      </c>
      <c r="N587" s="650">
        <f t="shared" si="404"/>
        <v>0</v>
      </c>
      <c r="O587" s="601">
        <f t="shared" si="405"/>
        <v>17.650000000000002</v>
      </c>
      <c r="P587" s="599">
        <f t="shared" si="406"/>
        <v>69.95</v>
      </c>
      <c r="S587" s="68"/>
      <c r="T587" s="905">
        <v>12</v>
      </c>
      <c r="U587" s="208">
        <f t="shared" si="407"/>
        <v>90</v>
      </c>
      <c r="Y587" s="441"/>
      <c r="Z587" s="69"/>
    </row>
    <row r="588" spans="1:26">
      <c r="A588" s="156">
        <f t="shared" si="371"/>
        <v>588</v>
      </c>
      <c r="B588" s="261"/>
      <c r="C588" s="835" t="s">
        <v>1075</v>
      </c>
      <c r="D588" s="167"/>
      <c r="E588" s="678">
        <v>254000</v>
      </c>
      <c r="F588" s="648">
        <v>10000</v>
      </c>
      <c r="G588" s="648">
        <v>500</v>
      </c>
      <c r="H588" s="649">
        <v>75</v>
      </c>
      <c r="I588" s="594">
        <f t="shared" si="399"/>
        <v>22.85</v>
      </c>
      <c r="J588" s="595">
        <f t="shared" si="400"/>
        <v>4.2</v>
      </c>
      <c r="K588" s="600">
        <f t="shared" si="401"/>
        <v>29.35</v>
      </c>
      <c r="L588" s="601">
        <f t="shared" si="402"/>
        <v>56.400000000000006</v>
      </c>
      <c r="M588" s="691">
        <f t="shared" si="403"/>
        <v>19.05</v>
      </c>
      <c r="N588" s="650">
        <f t="shared" si="404"/>
        <v>0</v>
      </c>
      <c r="O588" s="601">
        <f t="shared" si="405"/>
        <v>19.05</v>
      </c>
      <c r="P588" s="599">
        <f t="shared" si="406"/>
        <v>75.45</v>
      </c>
      <c r="S588" s="68"/>
      <c r="T588" s="905">
        <v>15</v>
      </c>
      <c r="U588" s="208">
        <f t="shared" si="407"/>
        <v>110</v>
      </c>
      <c r="Y588" s="189"/>
      <c r="Z588" s="69"/>
    </row>
    <row r="589" spans="1:26">
      <c r="A589" s="183"/>
      <c r="B589" s="261"/>
      <c r="C589" s="835"/>
      <c r="D589" s="167"/>
      <c r="E589" s="790"/>
      <c r="F589" s="648"/>
      <c r="G589" s="648"/>
      <c r="H589" s="648"/>
      <c r="I589" s="594"/>
      <c r="J589" s="595"/>
      <c r="K589" s="594"/>
      <c r="L589" s="596"/>
      <c r="M589" s="598"/>
      <c r="N589" s="598"/>
      <c r="O589" s="596"/>
      <c r="P589" s="599"/>
      <c r="S589" s="68"/>
      <c r="T589" s="905"/>
      <c r="U589" s="195"/>
      <c r="Y589" s="189"/>
      <c r="Z589" s="69"/>
    </row>
    <row r="590" spans="1:26">
      <c r="A590" s="183" t="str">
        <f>IF(ISNUMBER(E590),ROW(),"")</f>
        <v/>
      </c>
      <c r="B590" s="261"/>
      <c r="C590" s="727" t="s">
        <v>406</v>
      </c>
      <c r="D590" s="153"/>
      <c r="E590" s="718"/>
      <c r="F590" s="175"/>
      <c r="G590" s="175"/>
      <c r="H590" s="175"/>
      <c r="I590" s="585"/>
      <c r="J590" s="641"/>
      <c r="K590" s="585"/>
      <c r="L590" s="585"/>
      <c r="M590" s="175"/>
      <c r="N590" s="175"/>
      <c r="O590" s="175"/>
      <c r="P590" s="586"/>
      <c r="S590" s="68"/>
      <c r="T590" s="906" t="s">
        <v>1225</v>
      </c>
      <c r="U590" s="205"/>
      <c r="Y590" s="189"/>
      <c r="Z590" s="69"/>
    </row>
    <row r="591" spans="1:26">
      <c r="A591" s="156">
        <f t="shared" si="371"/>
        <v>591</v>
      </c>
      <c r="B591" s="261"/>
      <c r="C591" s="835" t="s">
        <v>1063</v>
      </c>
      <c r="D591" s="167"/>
      <c r="E591" s="678">
        <v>258000</v>
      </c>
      <c r="F591" s="648">
        <v>10000</v>
      </c>
      <c r="G591" s="648">
        <v>500</v>
      </c>
      <c r="H591" s="649">
        <v>75</v>
      </c>
      <c r="I591" s="594">
        <f>MROUND(E591*(1-$E$677/100)/F591,0.05)</f>
        <v>23.200000000000003</v>
      </c>
      <c r="J591" s="595">
        <f>MROUND($E591*(1+$E$677/100)/2*$E$682/100/$G591,0.05)</f>
        <v>4.25</v>
      </c>
      <c r="K591" s="600">
        <f>MROUND($E591*(1+$E$677/100)/2*$E$678/100/$G591,0.05)</f>
        <v>29.8</v>
      </c>
      <c r="L591" s="601">
        <f t="shared" ref="L591:L593" si="410">SUM(I591:K591)</f>
        <v>57.25</v>
      </c>
      <c r="M591" s="691">
        <f>MROUND($E591*$H591/100/$F591,0.05)</f>
        <v>19.350000000000001</v>
      </c>
      <c r="N591" s="650">
        <f t="shared" ref="N591:N593" si="411">MROUND(Y591*Z591,0.05)</f>
        <v>0</v>
      </c>
      <c r="O591" s="601">
        <f t="shared" ref="O591:O593" si="412">SUM(M591:N591)</f>
        <v>19.350000000000001</v>
      </c>
      <c r="P591" s="599">
        <f t="shared" ref="P591:P593" si="413">O591+L591</f>
        <v>76.599999999999994</v>
      </c>
      <c r="S591" s="68"/>
      <c r="T591" s="905">
        <f>0.4*15</f>
        <v>6</v>
      </c>
      <c r="U591" s="208">
        <f t="shared" ref="U591:U593" si="414">ROUNDDOWN(7.5*T591/5,0)*5</f>
        <v>45</v>
      </c>
      <c r="Y591" s="189"/>
      <c r="Z591" s="69"/>
    </row>
    <row r="592" spans="1:26">
      <c r="A592" s="156">
        <f t="shared" si="371"/>
        <v>592</v>
      </c>
      <c r="B592" s="261"/>
      <c r="C592" s="835" t="s">
        <v>1064</v>
      </c>
      <c r="D592" s="167"/>
      <c r="E592" s="678">
        <v>292750</v>
      </c>
      <c r="F592" s="648">
        <v>10000</v>
      </c>
      <c r="G592" s="648">
        <v>500</v>
      </c>
      <c r="H592" s="649">
        <v>75</v>
      </c>
      <c r="I592" s="594">
        <f>MROUND(E592*(1-$E$677/100)/F592,0.05)</f>
        <v>26.35</v>
      </c>
      <c r="J592" s="595">
        <f>MROUND($E592*(1+$E$677/100)/2*$E$682/100/$G592,0.05)</f>
        <v>4.8500000000000005</v>
      </c>
      <c r="K592" s="600">
        <f>MROUND($E592*(1+$E$677/100)/2*$E$678/100/$G592,0.05)</f>
        <v>33.800000000000004</v>
      </c>
      <c r="L592" s="601">
        <f t="shared" si="410"/>
        <v>65</v>
      </c>
      <c r="M592" s="691">
        <f>MROUND($E592*$H592/100/$F592,0.05)</f>
        <v>21.950000000000003</v>
      </c>
      <c r="N592" s="650">
        <f t="shared" si="411"/>
        <v>0</v>
      </c>
      <c r="O592" s="601">
        <f t="shared" si="412"/>
        <v>21.950000000000003</v>
      </c>
      <c r="P592" s="599">
        <f t="shared" si="413"/>
        <v>86.95</v>
      </c>
      <c r="S592" s="68"/>
      <c r="T592" s="905">
        <f>0.4*18</f>
        <v>7.2</v>
      </c>
      <c r="U592" s="208">
        <f t="shared" si="414"/>
        <v>50</v>
      </c>
      <c r="Y592" s="189"/>
      <c r="Z592" s="69"/>
    </row>
    <row r="593" spans="1:26">
      <c r="A593" s="156">
        <f t="shared" si="371"/>
        <v>593</v>
      </c>
      <c r="B593" s="261"/>
      <c r="C593" s="835" t="s">
        <v>1065</v>
      </c>
      <c r="D593" s="167"/>
      <c r="E593" s="678">
        <v>327500</v>
      </c>
      <c r="F593" s="648">
        <v>10000</v>
      </c>
      <c r="G593" s="648">
        <v>500</v>
      </c>
      <c r="H593" s="649">
        <v>75</v>
      </c>
      <c r="I593" s="594">
        <f>MROUND(E593*(1-$E$677/100)/F593,0.05)</f>
        <v>29.5</v>
      </c>
      <c r="J593" s="595">
        <f>MROUND($E593*(1+$E$677/100)/2*$E$682/100/$G593,0.05)</f>
        <v>5.4</v>
      </c>
      <c r="K593" s="600">
        <f>MROUND($E593*(1+$E$677/100)/2*$E$678/100/$G593,0.05)</f>
        <v>37.85</v>
      </c>
      <c r="L593" s="601">
        <f t="shared" si="410"/>
        <v>72.75</v>
      </c>
      <c r="M593" s="691">
        <f>MROUND($E593*$H593/100/$F593,0.05)</f>
        <v>24.55</v>
      </c>
      <c r="N593" s="650">
        <f t="shared" si="411"/>
        <v>0</v>
      </c>
      <c r="O593" s="601">
        <f t="shared" si="412"/>
        <v>24.55</v>
      </c>
      <c r="P593" s="599">
        <f t="shared" si="413"/>
        <v>97.3</v>
      </c>
      <c r="S593" s="68"/>
      <c r="T593" s="905">
        <f>0.4*30</f>
        <v>12</v>
      </c>
      <c r="U593" s="208">
        <f t="shared" si="414"/>
        <v>90</v>
      </c>
      <c r="Y593" s="189"/>
      <c r="Z593" s="69"/>
    </row>
    <row r="594" spans="1:26">
      <c r="A594" s="156" t="str">
        <f t="shared" ref="A594:A650" si="415">IF(ISNUMBER(E594),ROW(),"")</f>
        <v/>
      </c>
      <c r="B594" s="261"/>
      <c r="C594" s="830"/>
      <c r="D594" s="831"/>
      <c r="E594" s="622"/>
      <c r="F594" s="626"/>
      <c r="G594" s="626"/>
      <c r="H594" s="626"/>
      <c r="I594" s="626"/>
      <c r="J594" s="736"/>
      <c r="K594" s="626"/>
      <c r="L594" s="626"/>
      <c r="M594" s="737"/>
      <c r="N594" s="737"/>
      <c r="O594" s="737"/>
      <c r="P594" s="627"/>
      <c r="S594" s="68"/>
      <c r="T594" s="905"/>
      <c r="U594" s="205"/>
      <c r="Y594" s="189"/>
      <c r="Z594" s="69"/>
    </row>
    <row r="595" spans="1:26">
      <c r="A595" s="310" t="str">
        <f t="shared" si="415"/>
        <v/>
      </c>
      <c r="B595" s="261"/>
      <c r="C595" s="725"/>
      <c r="D595" s="153"/>
      <c r="E595" s="557"/>
      <c r="F595" s="585"/>
      <c r="G595" s="585"/>
      <c r="H595" s="585"/>
      <c r="I595" s="585"/>
      <c r="J595" s="585"/>
      <c r="K595" s="585"/>
      <c r="L595" s="585"/>
      <c r="M595" s="175"/>
      <c r="N595" s="175"/>
      <c r="O595" s="175"/>
      <c r="P595" s="585"/>
      <c r="S595" s="68"/>
      <c r="T595" s="905"/>
      <c r="U595" s="201"/>
      <c r="Y595" s="546"/>
    </row>
    <row r="596" spans="1:26" ht="13.5" thickBot="1">
      <c r="A596" s="310" t="str">
        <f t="shared" si="415"/>
        <v/>
      </c>
      <c r="B596" s="266">
        <f>MAX($B$8:B595)+0.01</f>
        <v>15.02</v>
      </c>
      <c r="C596" s="819" t="s">
        <v>354</v>
      </c>
      <c r="D596" s="832"/>
      <c r="E596" s="713"/>
      <c r="F596" s="683"/>
      <c r="G596" s="683"/>
      <c r="H596" s="684"/>
      <c r="I596" s="684"/>
      <c r="J596" s="684"/>
      <c r="K596" s="684"/>
      <c r="L596" s="684"/>
      <c r="M596" s="685"/>
      <c r="N596" s="685"/>
      <c r="O596" s="685"/>
      <c r="P596" s="697" t="s">
        <v>1067</v>
      </c>
      <c r="S596" s="68"/>
      <c r="T596" s="905"/>
      <c r="U596" s="204"/>
      <c r="Y596" s="546"/>
    </row>
    <row r="597" spans="1:26">
      <c r="A597" s="310" t="str">
        <f t="shared" si="415"/>
        <v/>
      </c>
      <c r="B597" s="262"/>
      <c r="C597" s="816"/>
      <c r="D597" s="826"/>
      <c r="E597" s="709"/>
      <c r="F597" s="687"/>
      <c r="G597" s="687"/>
      <c r="H597" s="589"/>
      <c r="I597" s="589"/>
      <c r="J597" s="589"/>
      <c r="K597" s="589"/>
      <c r="L597" s="589"/>
      <c r="M597" s="688"/>
      <c r="N597" s="688"/>
      <c r="O597" s="688"/>
      <c r="P597" s="689"/>
      <c r="Q597" s="69"/>
      <c r="R597" s="69"/>
      <c r="S597" s="227"/>
      <c r="T597" s="906" t="s">
        <v>1225</v>
      </c>
      <c r="U597" s="205"/>
      <c r="V597" s="69"/>
      <c r="W597" s="69"/>
      <c r="Y597" s="546"/>
    </row>
    <row r="598" spans="1:26">
      <c r="A598" s="310">
        <f t="shared" ref="A598:A602" si="416">IF(ISNUMBER(E598),ROW(),"")</f>
        <v>598</v>
      </c>
      <c r="B598" s="262"/>
      <c r="C598" s="726" t="s">
        <v>929</v>
      </c>
      <c r="D598" s="153"/>
      <c r="E598" s="678">
        <v>297000</v>
      </c>
      <c r="F598" s="629">
        <v>10000</v>
      </c>
      <c r="G598" s="629">
        <v>500</v>
      </c>
      <c r="H598" s="630">
        <v>75</v>
      </c>
      <c r="I598" s="594">
        <f>MROUND(E598*(1-$E$677/100)/F598,0.05)</f>
        <v>26.75</v>
      </c>
      <c r="J598" s="595">
        <f>MROUND($E598*(1+$E$677/100)/2*$E$682/100/$G598,0.05)</f>
        <v>4.9000000000000004</v>
      </c>
      <c r="K598" s="600">
        <f>MROUND($E598*(1+$E$677/100)/2*$E$678/100/$G598,0.05)</f>
        <v>34.300000000000004</v>
      </c>
      <c r="L598" s="601">
        <f t="shared" ref="L598:L602" si="417">SUM(I598:K598)</f>
        <v>65.95</v>
      </c>
      <c r="M598" s="691">
        <f>MROUND($E598*$H598/100/$F598,0.05)</f>
        <v>22.25</v>
      </c>
      <c r="N598" s="650">
        <f t="shared" ref="N598:N602" si="418">MROUND(Y598*Z598,0.05)</f>
        <v>0</v>
      </c>
      <c r="O598" s="601">
        <f t="shared" ref="O598:O602" si="419">SUM(M598:N598)</f>
        <v>22.25</v>
      </c>
      <c r="P598" s="599">
        <f t="shared" ref="P598:P602" si="420">O598+L598</f>
        <v>88.2</v>
      </c>
      <c r="Q598" s="69"/>
      <c r="R598" s="69"/>
      <c r="S598" s="227"/>
      <c r="T598" s="906">
        <v>8</v>
      </c>
      <c r="U598" s="208">
        <f t="shared" ref="U598:U602" si="421">ROUNDDOWN(7.5*T598/5,0)*5</f>
        <v>60</v>
      </c>
      <c r="V598" s="69"/>
      <c r="W598" s="69"/>
      <c r="Y598" s="444"/>
      <c r="Z598" s="69"/>
    </row>
    <row r="599" spans="1:26">
      <c r="A599" s="310">
        <f t="shared" si="416"/>
        <v>599</v>
      </c>
      <c r="B599" s="262"/>
      <c r="C599" s="726" t="s">
        <v>930</v>
      </c>
      <c r="D599" s="153"/>
      <c r="E599" s="678">
        <v>318000</v>
      </c>
      <c r="F599" s="629">
        <v>10000</v>
      </c>
      <c r="G599" s="629">
        <v>500</v>
      </c>
      <c r="H599" s="630">
        <v>75</v>
      </c>
      <c r="I599" s="594">
        <f>MROUND(E599*(1-$E$677/100)/F599,0.05)</f>
        <v>28.6</v>
      </c>
      <c r="J599" s="595">
        <f>MROUND($E599*(1+$E$677/100)/2*$E$682/100/$G599,0.05)</f>
        <v>5.25</v>
      </c>
      <c r="K599" s="600">
        <f>MROUND($E599*(1+$E$677/100)/2*$E$678/100/$G599,0.05)</f>
        <v>36.75</v>
      </c>
      <c r="L599" s="601">
        <f t="shared" si="417"/>
        <v>70.599999999999994</v>
      </c>
      <c r="M599" s="691">
        <f>MROUND($E599*$H599/100/$F599,0.05)</f>
        <v>23.85</v>
      </c>
      <c r="N599" s="650">
        <f t="shared" si="418"/>
        <v>0</v>
      </c>
      <c r="O599" s="601">
        <f t="shared" si="419"/>
        <v>23.85</v>
      </c>
      <c r="P599" s="599">
        <f t="shared" si="420"/>
        <v>94.449999999999989</v>
      </c>
      <c r="Q599" s="69"/>
      <c r="R599" s="69"/>
      <c r="S599" s="227"/>
      <c r="T599" s="906">
        <v>12</v>
      </c>
      <c r="U599" s="208">
        <f t="shared" si="421"/>
        <v>90</v>
      </c>
      <c r="V599" s="69"/>
      <c r="W599" s="69"/>
      <c r="Y599" s="444"/>
      <c r="Z599" s="69"/>
    </row>
    <row r="600" spans="1:26">
      <c r="A600" s="310">
        <f t="shared" si="416"/>
        <v>600</v>
      </c>
      <c r="B600" s="262"/>
      <c r="C600" s="726" t="s">
        <v>931</v>
      </c>
      <c r="D600" s="153"/>
      <c r="E600" s="678">
        <v>346500</v>
      </c>
      <c r="F600" s="629">
        <v>10000</v>
      </c>
      <c r="G600" s="629">
        <v>500</v>
      </c>
      <c r="H600" s="630">
        <v>75</v>
      </c>
      <c r="I600" s="594">
        <f>MROUND(E600*(1-$E$677/100)/F600,0.05)</f>
        <v>31.200000000000003</v>
      </c>
      <c r="J600" s="595">
        <f>MROUND($E600*(1+$E$677/100)/2*$E$682/100/$G600,0.05)</f>
        <v>5.7</v>
      </c>
      <c r="K600" s="600">
        <f>MROUND($E600*(1+$E$677/100)/2*$E$678/100/$G600,0.05)</f>
        <v>40</v>
      </c>
      <c r="L600" s="601">
        <f t="shared" si="417"/>
        <v>76.900000000000006</v>
      </c>
      <c r="M600" s="691">
        <f>MROUND($E600*$H600/100/$F600,0.05)</f>
        <v>26</v>
      </c>
      <c r="N600" s="650">
        <f t="shared" si="418"/>
        <v>0</v>
      </c>
      <c r="O600" s="601">
        <f t="shared" si="419"/>
        <v>26</v>
      </c>
      <c r="P600" s="599">
        <f t="shared" si="420"/>
        <v>102.9</v>
      </c>
      <c r="Q600" s="69"/>
      <c r="R600" s="69"/>
      <c r="S600" s="227"/>
      <c r="T600" s="906">
        <v>15</v>
      </c>
      <c r="U600" s="208">
        <f t="shared" si="421"/>
        <v>110</v>
      </c>
      <c r="V600" s="69"/>
      <c r="W600" s="69"/>
      <c r="Y600" s="444"/>
      <c r="Z600" s="69"/>
    </row>
    <row r="601" spans="1:26">
      <c r="A601" s="310">
        <f t="shared" si="416"/>
        <v>601</v>
      </c>
      <c r="B601" s="262"/>
      <c r="C601" s="726" t="s">
        <v>932</v>
      </c>
      <c r="D601" s="153"/>
      <c r="E601" s="678">
        <v>372750</v>
      </c>
      <c r="F601" s="629">
        <v>10000</v>
      </c>
      <c r="G601" s="629">
        <v>500</v>
      </c>
      <c r="H601" s="630">
        <v>75</v>
      </c>
      <c r="I601" s="594">
        <f>MROUND(E601*(1-$E$677/100)/F601,0.05)</f>
        <v>33.550000000000004</v>
      </c>
      <c r="J601" s="595">
        <f>MROUND($E601*(1+$E$677/100)/2*$E$682/100/$G601,0.05)</f>
        <v>6.15</v>
      </c>
      <c r="K601" s="600">
        <f>MROUND($E601*(1+$E$677/100)/2*$E$678/100/$G601,0.05)</f>
        <v>43.050000000000004</v>
      </c>
      <c r="L601" s="601">
        <f t="shared" si="417"/>
        <v>82.75</v>
      </c>
      <c r="M601" s="691">
        <f>MROUND($E601*$H601/100/$F601,0.05)</f>
        <v>27.950000000000003</v>
      </c>
      <c r="N601" s="650">
        <f t="shared" si="418"/>
        <v>0</v>
      </c>
      <c r="O601" s="601">
        <f t="shared" si="419"/>
        <v>27.950000000000003</v>
      </c>
      <c r="P601" s="599">
        <f t="shared" si="420"/>
        <v>110.7</v>
      </c>
      <c r="Q601" s="69"/>
      <c r="R601" s="69"/>
      <c r="S601" s="227"/>
      <c r="T601" s="906">
        <v>20</v>
      </c>
      <c r="U601" s="208">
        <f t="shared" si="421"/>
        <v>150</v>
      </c>
      <c r="V601" s="69"/>
      <c r="W601" s="69"/>
      <c r="Y601" s="444"/>
      <c r="Z601" s="69"/>
    </row>
    <row r="602" spans="1:26">
      <c r="A602" s="310">
        <f t="shared" si="416"/>
        <v>602</v>
      </c>
      <c r="B602" s="262"/>
      <c r="C602" s="726" t="s">
        <v>933</v>
      </c>
      <c r="D602" s="153"/>
      <c r="E602" s="678">
        <v>636250</v>
      </c>
      <c r="F602" s="629">
        <v>10000</v>
      </c>
      <c r="G602" s="629">
        <v>500</v>
      </c>
      <c r="H602" s="630">
        <v>75</v>
      </c>
      <c r="I602" s="594">
        <f>MROUND(E602*(1-$E$677/100)/F602,0.05)</f>
        <v>57.25</v>
      </c>
      <c r="J602" s="595">
        <f>MROUND($E602*(1+$E$677/100)/2*$E$682/100/$G602,0.05)</f>
        <v>10.5</v>
      </c>
      <c r="K602" s="600">
        <f>MROUND($E602*(1+$E$677/100)/2*$E$678/100/$G602,0.05)</f>
        <v>73.5</v>
      </c>
      <c r="L602" s="601">
        <f t="shared" si="417"/>
        <v>141.25</v>
      </c>
      <c r="M602" s="691">
        <f>MROUND($E602*$H602/100/$F602,0.05)</f>
        <v>47.7</v>
      </c>
      <c r="N602" s="650">
        <f t="shared" si="418"/>
        <v>0</v>
      </c>
      <c r="O602" s="601">
        <f t="shared" si="419"/>
        <v>47.7</v>
      </c>
      <c r="P602" s="599">
        <f t="shared" si="420"/>
        <v>188.95</v>
      </c>
      <c r="Q602" s="69"/>
      <c r="R602" s="69"/>
      <c r="S602" s="227"/>
      <c r="T602" s="906">
        <v>30</v>
      </c>
      <c r="U602" s="208">
        <f t="shared" si="421"/>
        <v>225</v>
      </c>
      <c r="V602" s="69"/>
      <c r="W602" s="69"/>
      <c r="Y602" s="444"/>
      <c r="Z602" s="69"/>
    </row>
    <row r="603" spans="1:26">
      <c r="A603" s="310"/>
      <c r="B603" s="262"/>
      <c r="C603" s="830"/>
      <c r="D603" s="831"/>
      <c r="E603" s="734"/>
      <c r="F603" s="692"/>
      <c r="G603" s="692"/>
      <c r="H603" s="692"/>
      <c r="I603" s="605"/>
      <c r="J603" s="606"/>
      <c r="K603" s="605"/>
      <c r="L603" s="607"/>
      <c r="M603" s="608"/>
      <c r="N603" s="608"/>
      <c r="O603" s="607"/>
      <c r="P603" s="609"/>
      <c r="Q603" s="69"/>
      <c r="R603" s="69"/>
      <c r="S603" s="227"/>
      <c r="T603" s="906"/>
      <c r="U603" s="208"/>
      <c r="V603" s="69"/>
      <c r="W603" s="69"/>
      <c r="Y603" s="444"/>
      <c r="Z603" s="69"/>
    </row>
    <row r="604" spans="1:26">
      <c r="A604" s="310" t="str">
        <f t="shared" ref="A604:A606" si="422">IF(ISNUMBER(E604),ROW(),"")</f>
        <v/>
      </c>
      <c r="B604" s="261"/>
      <c r="C604" s="725"/>
      <c r="D604" s="153"/>
      <c r="E604" s="557"/>
      <c r="F604" s="585"/>
      <c r="G604" s="585"/>
      <c r="H604" s="585"/>
      <c r="I604" s="585"/>
      <c r="J604" s="585"/>
      <c r="K604" s="585"/>
      <c r="L604" s="585"/>
      <c r="M604" s="175"/>
      <c r="N604" s="175"/>
      <c r="O604" s="175"/>
      <c r="P604" s="585"/>
      <c r="S604" s="68"/>
      <c r="T604" s="905"/>
      <c r="U604" s="201"/>
      <c r="Y604" s="546"/>
    </row>
    <row r="605" spans="1:26" ht="13.5" thickBot="1">
      <c r="A605" s="310" t="str">
        <f t="shared" si="422"/>
        <v/>
      </c>
      <c r="B605" s="266">
        <f>MAX($B$8:B604)+0.01</f>
        <v>15.03</v>
      </c>
      <c r="C605" s="819" t="s">
        <v>788</v>
      </c>
      <c r="D605" s="832"/>
      <c r="E605" s="713"/>
      <c r="F605" s="683"/>
      <c r="G605" s="683"/>
      <c r="H605" s="684"/>
      <c r="I605" s="684"/>
      <c r="J605" s="684"/>
      <c r="K605" s="684"/>
      <c r="L605" s="684"/>
      <c r="M605" s="685"/>
      <c r="N605" s="685"/>
      <c r="O605" s="685"/>
      <c r="P605" s="697"/>
      <c r="S605" s="68"/>
      <c r="T605" s="905"/>
      <c r="U605" s="204"/>
      <c r="Y605" s="546"/>
    </row>
    <row r="606" spans="1:26">
      <c r="A606" s="310" t="str">
        <f t="shared" si="422"/>
        <v/>
      </c>
      <c r="B606" s="262"/>
      <c r="C606" s="816"/>
      <c r="D606" s="826"/>
      <c r="E606" s="709"/>
      <c r="F606" s="687"/>
      <c r="G606" s="687"/>
      <c r="H606" s="589"/>
      <c r="I606" s="589"/>
      <c r="J606" s="589"/>
      <c r="K606" s="589"/>
      <c r="L606" s="589"/>
      <c r="M606" s="688"/>
      <c r="N606" s="688"/>
      <c r="O606" s="688"/>
      <c r="P606" s="689"/>
      <c r="Q606" s="69"/>
      <c r="R606" s="69"/>
      <c r="S606" s="227"/>
      <c r="T606" s="906" t="s">
        <v>1225</v>
      </c>
      <c r="U606" s="205"/>
      <c r="V606" s="69"/>
      <c r="W606" s="69"/>
      <c r="Y606" s="546"/>
    </row>
    <row r="607" spans="1:26">
      <c r="A607" s="310">
        <f t="shared" ref="A607:A608" si="423">IF(ISNUMBER(E607),ROW(),"")</f>
        <v>607</v>
      </c>
      <c r="B607" s="262"/>
      <c r="C607" s="726" t="s">
        <v>757</v>
      </c>
      <c r="D607" s="153"/>
      <c r="E607" s="678">
        <v>836000</v>
      </c>
      <c r="F607" s="629">
        <v>10000</v>
      </c>
      <c r="G607" s="629">
        <v>500</v>
      </c>
      <c r="H607" s="630">
        <v>75</v>
      </c>
      <c r="I607" s="594">
        <f>MROUND(E607*(1-$E$677/100)/F607,0.05)</f>
        <v>75.25</v>
      </c>
      <c r="J607" s="595">
        <f>MROUND($E607*(1+$E$677/100)/2*$E$682/100/$G607,0.05)</f>
        <v>13.8</v>
      </c>
      <c r="K607" s="600">
        <f>MROUND($E607*(1+$E$677/100)/2*$E$678/100/$G607,0.05)</f>
        <v>96.550000000000011</v>
      </c>
      <c r="L607" s="601">
        <f t="shared" ref="L607:L608" si="424">SUM(I607:K607)</f>
        <v>185.60000000000002</v>
      </c>
      <c r="M607" s="691">
        <f>MROUND($E607*$H607/100/$F607,0.05)</f>
        <v>62.7</v>
      </c>
      <c r="N607" s="650">
        <f t="shared" ref="N607:N608" si="425">MROUND(Y607*Z607,0.05)</f>
        <v>0</v>
      </c>
      <c r="O607" s="601">
        <f t="shared" ref="O607:O608" si="426">SUM(M607:N607)</f>
        <v>62.7</v>
      </c>
      <c r="P607" s="599">
        <f t="shared" ref="P607:P608" si="427">O607+L607</f>
        <v>248.3</v>
      </c>
      <c r="Q607" s="69"/>
      <c r="R607" s="69"/>
      <c r="S607" s="227"/>
      <c r="T607" s="906">
        <v>21</v>
      </c>
      <c r="U607" s="208">
        <f t="shared" ref="U607:U608" si="428">ROUNDDOWN(7.5*T607/5,0)*5</f>
        <v>155</v>
      </c>
      <c r="V607" s="69"/>
      <c r="W607" s="69"/>
      <c r="Y607" s="443"/>
      <c r="Z607" s="69"/>
    </row>
    <row r="608" spans="1:26">
      <c r="A608" s="310">
        <f t="shared" si="423"/>
        <v>608</v>
      </c>
      <c r="B608" s="262"/>
      <c r="C608" s="726" t="s">
        <v>756</v>
      </c>
      <c r="D608" s="153"/>
      <c r="E608" s="678">
        <v>979500</v>
      </c>
      <c r="F608" s="629">
        <v>10000</v>
      </c>
      <c r="G608" s="629">
        <v>500</v>
      </c>
      <c r="H608" s="630">
        <v>75</v>
      </c>
      <c r="I608" s="594">
        <f>MROUND(E608*(1-$E$677/100)/F608,0.05)</f>
        <v>88.15</v>
      </c>
      <c r="J608" s="595">
        <f>MROUND($E608*(1+$E$677/100)/2*$E$682/100/$G608,0.05)</f>
        <v>16.150000000000002</v>
      </c>
      <c r="K608" s="600">
        <f>MROUND($E608*(1+$E$677/100)/2*$E$678/100/$G608,0.05)</f>
        <v>113.15</v>
      </c>
      <c r="L608" s="601">
        <f t="shared" si="424"/>
        <v>217.45000000000002</v>
      </c>
      <c r="M608" s="691">
        <f>MROUND($E608*$H608/100/$F608,0.05)</f>
        <v>73.45</v>
      </c>
      <c r="N608" s="650">
        <f t="shared" si="425"/>
        <v>0</v>
      </c>
      <c r="O608" s="601">
        <f t="shared" si="426"/>
        <v>73.45</v>
      </c>
      <c r="P608" s="599">
        <f t="shared" si="427"/>
        <v>290.90000000000003</v>
      </c>
      <c r="Q608" s="69"/>
      <c r="R608" s="69"/>
      <c r="S608" s="227"/>
      <c r="T608" s="906">
        <v>27</v>
      </c>
      <c r="U608" s="208">
        <f t="shared" si="428"/>
        <v>200</v>
      </c>
      <c r="V608" s="69"/>
      <c r="W608" s="69"/>
      <c r="Y608" s="443"/>
      <c r="Z608" s="69"/>
    </row>
    <row r="609" spans="1:26">
      <c r="A609" s="310"/>
      <c r="B609" s="262"/>
      <c r="C609" s="830"/>
      <c r="D609" s="831"/>
      <c r="E609" s="735"/>
      <c r="F609" s="692"/>
      <c r="G609" s="692"/>
      <c r="H609" s="692"/>
      <c r="I609" s="605"/>
      <c r="J609" s="606"/>
      <c r="K609" s="605"/>
      <c r="L609" s="607"/>
      <c r="M609" s="608"/>
      <c r="N609" s="608"/>
      <c r="O609" s="607"/>
      <c r="P609" s="609"/>
      <c r="Q609" s="69"/>
      <c r="R609" s="69"/>
      <c r="S609" s="227"/>
      <c r="T609" s="906"/>
      <c r="U609" s="208"/>
      <c r="V609" s="69"/>
      <c r="W609" s="69"/>
      <c r="Y609" s="444"/>
      <c r="Z609" s="69"/>
    </row>
    <row r="610" spans="1:26">
      <c r="A610" s="310" t="str">
        <f t="shared" ref="A610:A612" si="429">IF(ISNUMBER(E610),ROW(),"")</f>
        <v/>
      </c>
      <c r="B610" s="261"/>
      <c r="C610" s="725"/>
      <c r="D610" s="153"/>
      <c r="E610" s="557"/>
      <c r="F610" s="585"/>
      <c r="G610" s="585"/>
      <c r="H610" s="585"/>
      <c r="I610" s="585"/>
      <c r="J610" s="585"/>
      <c r="K610" s="585"/>
      <c r="L610" s="585"/>
      <c r="M610" s="175"/>
      <c r="N610" s="175"/>
      <c r="O610" s="175"/>
      <c r="P610" s="585"/>
      <c r="S610" s="68"/>
      <c r="T610" s="905"/>
      <c r="U610" s="201"/>
      <c r="Y610" s="546"/>
    </row>
    <row r="611" spans="1:26" ht="13.5" thickBot="1">
      <c r="A611" s="310" t="str">
        <f t="shared" si="429"/>
        <v/>
      </c>
      <c r="B611" s="266">
        <f>MAX($B$8:B610)+0.01</f>
        <v>15.04</v>
      </c>
      <c r="C611" s="819" t="s">
        <v>877</v>
      </c>
      <c r="D611" s="832"/>
      <c r="E611" s="713"/>
      <c r="F611" s="683"/>
      <c r="G611" s="683"/>
      <c r="H611" s="684"/>
      <c r="I611" s="684"/>
      <c r="J611" s="684"/>
      <c r="K611" s="684"/>
      <c r="L611" s="684"/>
      <c r="M611" s="685"/>
      <c r="N611" s="685"/>
      <c r="O611" s="685"/>
      <c r="P611" s="697"/>
      <c r="S611" s="68"/>
      <c r="T611" s="905"/>
      <c r="U611" s="204"/>
      <c r="Y611" s="546"/>
    </row>
    <row r="612" spans="1:26">
      <c r="A612" s="310" t="str">
        <f t="shared" si="429"/>
        <v/>
      </c>
      <c r="B612" s="262"/>
      <c r="C612" s="816"/>
      <c r="D612" s="826"/>
      <c r="E612" s="709"/>
      <c r="F612" s="687"/>
      <c r="G612" s="687"/>
      <c r="H612" s="589"/>
      <c r="I612" s="589"/>
      <c r="J612" s="589"/>
      <c r="K612" s="589"/>
      <c r="L612" s="589"/>
      <c r="M612" s="688"/>
      <c r="N612" s="688"/>
      <c r="O612" s="688"/>
      <c r="P612" s="689"/>
      <c r="Q612" s="69"/>
      <c r="R612" s="69"/>
      <c r="S612" s="227"/>
      <c r="T612" s="906" t="s">
        <v>1225</v>
      </c>
      <c r="U612" s="205"/>
      <c r="V612" s="69"/>
      <c r="W612" s="69"/>
      <c r="Y612" s="546"/>
    </row>
    <row r="613" spans="1:26">
      <c r="A613" s="310">
        <f t="shared" ref="A613" si="430">IF(ISNUMBER(E613),ROW(),"")</f>
        <v>613</v>
      </c>
      <c r="B613" s="262"/>
      <c r="C613" s="726" t="s">
        <v>934</v>
      </c>
      <c r="D613" s="153"/>
      <c r="E613" s="678">
        <v>17750</v>
      </c>
      <c r="F613" s="629">
        <v>10000</v>
      </c>
      <c r="G613" s="629">
        <v>250</v>
      </c>
      <c r="H613" s="630">
        <v>75</v>
      </c>
      <c r="I613" s="594">
        <f>MROUND(E613*(1-$E$677/100)/F613,0.05)</f>
        <v>1.6</v>
      </c>
      <c r="J613" s="595">
        <f>MROUND($E613*(1+$E$677/100)/2*$E$682/100/$G613,0.05)</f>
        <v>0.60000000000000009</v>
      </c>
      <c r="K613" s="600">
        <f>MROUND($E613*(1+$E$677/100)/2*$E$678/100/$G613,0.05)</f>
        <v>4.1000000000000005</v>
      </c>
      <c r="L613" s="601">
        <f t="shared" ref="L613:L616" si="431">SUM(I613:K613)</f>
        <v>6.3000000000000007</v>
      </c>
      <c r="M613" s="691">
        <f>MROUND($E613*$H613/100/$F613,0.05)</f>
        <v>1.35</v>
      </c>
      <c r="N613" s="650">
        <f t="shared" ref="N613:N616" si="432">MROUND(Y613*Z613,0.05)</f>
        <v>0</v>
      </c>
      <c r="O613" s="601">
        <f t="shared" ref="O613:O616" si="433">SUM(M613:N613)</f>
        <v>1.35</v>
      </c>
      <c r="P613" s="599">
        <f t="shared" ref="P613:P616" si="434">O613+L613</f>
        <v>7.65</v>
      </c>
      <c r="Q613" s="69"/>
      <c r="R613" s="69"/>
      <c r="S613" s="227"/>
      <c r="T613" s="906">
        <v>2.5</v>
      </c>
      <c r="U613" s="208">
        <f t="shared" ref="U613:U616" si="435">ROUNDDOWN(7.5*T613/5,0)*5</f>
        <v>15</v>
      </c>
      <c r="V613" s="69"/>
      <c r="W613" s="69"/>
      <c r="Y613" s="444"/>
      <c r="Z613" s="69"/>
    </row>
    <row r="614" spans="1:26">
      <c r="A614" s="310">
        <f t="shared" ref="A614" si="436">IF(ISNUMBER(E614),ROW(),"")</f>
        <v>614</v>
      </c>
      <c r="B614" s="262"/>
      <c r="C614" s="726" t="s">
        <v>935</v>
      </c>
      <c r="D614" s="153"/>
      <c r="E614" s="678">
        <v>35500</v>
      </c>
      <c r="F614" s="629">
        <v>10000</v>
      </c>
      <c r="G614" s="629">
        <v>250</v>
      </c>
      <c r="H614" s="630">
        <v>75</v>
      </c>
      <c r="I614" s="594">
        <f>MROUND(E614*(1-$E$677/100)/F614,0.05)</f>
        <v>3.2</v>
      </c>
      <c r="J614" s="595">
        <f>MROUND($E614*(1+$E$677/100)/2*$E$682/100/$G614,0.05)</f>
        <v>1.1500000000000001</v>
      </c>
      <c r="K614" s="600">
        <f>MROUND($E614*(1+$E$677/100)/2*$E$678/100/$G614,0.05)</f>
        <v>8.2000000000000011</v>
      </c>
      <c r="L614" s="601">
        <f t="shared" si="431"/>
        <v>12.55</v>
      </c>
      <c r="M614" s="691">
        <f>MROUND($E614*$H614/100/$F614,0.05)</f>
        <v>2.6500000000000004</v>
      </c>
      <c r="N614" s="650">
        <f t="shared" si="432"/>
        <v>0</v>
      </c>
      <c r="O614" s="601">
        <f t="shared" si="433"/>
        <v>2.6500000000000004</v>
      </c>
      <c r="P614" s="599">
        <f t="shared" si="434"/>
        <v>15.200000000000001</v>
      </c>
      <c r="Q614" s="69"/>
      <c r="R614" s="69"/>
      <c r="S614" s="227"/>
      <c r="T614" s="906">
        <v>5</v>
      </c>
      <c r="U614" s="208">
        <f t="shared" si="435"/>
        <v>35</v>
      </c>
      <c r="V614" s="69"/>
      <c r="W614" s="69"/>
      <c r="Y614" s="444"/>
      <c r="Z614" s="69"/>
    </row>
    <row r="615" spans="1:26">
      <c r="A615" s="310">
        <f t="shared" ref="A615:A616" si="437">IF(ISNUMBER(E615),ROW(),"")</f>
        <v>615</v>
      </c>
      <c r="B615" s="262"/>
      <c r="C615" s="726" t="s">
        <v>936</v>
      </c>
      <c r="D615" s="153"/>
      <c r="E615" s="678">
        <v>53250</v>
      </c>
      <c r="F615" s="629">
        <v>10000</v>
      </c>
      <c r="G615" s="629">
        <v>250</v>
      </c>
      <c r="H615" s="630">
        <v>75</v>
      </c>
      <c r="I615" s="594">
        <f>MROUND(E615*(1-$E$677/100)/F615,0.05)</f>
        <v>4.8000000000000007</v>
      </c>
      <c r="J615" s="595">
        <f>MROUND($E615*(1+$E$677/100)/2*$E$682/100/$G615,0.05)</f>
        <v>1.75</v>
      </c>
      <c r="K615" s="600">
        <f>MROUND($E615*(1+$E$677/100)/2*$E$678/100/$G615,0.05)</f>
        <v>12.3</v>
      </c>
      <c r="L615" s="601">
        <f t="shared" si="431"/>
        <v>18.850000000000001</v>
      </c>
      <c r="M615" s="691">
        <f>MROUND($E615*$H615/100/$F615,0.05)</f>
        <v>4</v>
      </c>
      <c r="N615" s="650">
        <f t="shared" si="432"/>
        <v>0</v>
      </c>
      <c r="O615" s="601">
        <f t="shared" si="433"/>
        <v>4</v>
      </c>
      <c r="P615" s="599">
        <f t="shared" si="434"/>
        <v>22.85</v>
      </c>
      <c r="Q615" s="69"/>
      <c r="R615" s="69"/>
      <c r="S615" s="227"/>
      <c r="T615" s="906">
        <v>7.5</v>
      </c>
      <c r="U615" s="208">
        <f t="shared" si="435"/>
        <v>55</v>
      </c>
      <c r="V615" s="69"/>
      <c r="W615" s="69"/>
      <c r="Y615" s="444"/>
      <c r="Z615" s="69"/>
    </row>
    <row r="616" spans="1:26">
      <c r="A616" s="310">
        <f t="shared" si="437"/>
        <v>616</v>
      </c>
      <c r="B616" s="262"/>
      <c r="C616" s="726" t="s">
        <v>937</v>
      </c>
      <c r="D616" s="153"/>
      <c r="E616" s="678">
        <v>71000</v>
      </c>
      <c r="F616" s="629">
        <v>10000</v>
      </c>
      <c r="G616" s="629">
        <v>250</v>
      </c>
      <c r="H616" s="630">
        <v>75</v>
      </c>
      <c r="I616" s="594">
        <f>MROUND(E616*(1-$E$677/100)/F616,0.05)</f>
        <v>6.4</v>
      </c>
      <c r="J616" s="595">
        <f>MROUND($E616*(1+$E$677/100)/2*$E$682/100/$G616,0.05)</f>
        <v>2.35</v>
      </c>
      <c r="K616" s="600">
        <f>MROUND($E616*(1+$E$677/100)/2*$E$678/100/$G616,0.05)</f>
        <v>16.400000000000002</v>
      </c>
      <c r="L616" s="601">
        <f t="shared" si="431"/>
        <v>25.150000000000002</v>
      </c>
      <c r="M616" s="691">
        <f>MROUND($E616*$H616/100/$F616,0.05)</f>
        <v>5.3500000000000005</v>
      </c>
      <c r="N616" s="650">
        <f t="shared" si="432"/>
        <v>0</v>
      </c>
      <c r="O616" s="601">
        <f t="shared" si="433"/>
        <v>5.3500000000000005</v>
      </c>
      <c r="P616" s="599">
        <f t="shared" si="434"/>
        <v>30.500000000000004</v>
      </c>
      <c r="Q616" s="69"/>
      <c r="R616" s="69"/>
      <c r="S616" s="227"/>
      <c r="T616" s="906">
        <v>10</v>
      </c>
      <c r="U616" s="208">
        <f t="shared" si="435"/>
        <v>75</v>
      </c>
      <c r="V616" s="69"/>
      <c r="W616" s="69"/>
      <c r="Y616" s="444"/>
      <c r="Z616" s="69"/>
    </row>
    <row r="617" spans="1:26">
      <c r="A617" s="310"/>
      <c r="B617" s="262"/>
      <c r="C617" s="830"/>
      <c r="D617" s="831"/>
      <c r="E617" s="735"/>
      <c r="F617" s="692"/>
      <c r="G617" s="692"/>
      <c r="H617" s="692"/>
      <c r="I617" s="605"/>
      <c r="J617" s="606"/>
      <c r="K617" s="605"/>
      <c r="L617" s="607"/>
      <c r="M617" s="608"/>
      <c r="N617" s="608"/>
      <c r="O617" s="607"/>
      <c r="P617" s="609"/>
      <c r="Q617" s="69"/>
      <c r="R617" s="69"/>
      <c r="S617" s="227"/>
      <c r="T617" s="906"/>
      <c r="U617" s="208"/>
      <c r="V617" s="69"/>
      <c r="W617" s="69"/>
      <c r="Y617" s="445"/>
      <c r="Z617" s="69"/>
    </row>
    <row r="618" spans="1:26">
      <c r="A618" s="310" t="str">
        <f t="shared" ref="A618:A620" si="438">IF(ISNUMBER(E618),ROW(),"")</f>
        <v/>
      </c>
      <c r="B618" s="261"/>
      <c r="C618" s="725"/>
      <c r="D618" s="153"/>
      <c r="E618" s="557"/>
      <c r="F618" s="585"/>
      <c r="G618" s="585"/>
      <c r="H618" s="585"/>
      <c r="I618" s="585"/>
      <c r="J618" s="585"/>
      <c r="K618" s="585"/>
      <c r="L618" s="585"/>
      <c r="M618" s="175"/>
      <c r="N618" s="175"/>
      <c r="O618" s="175"/>
      <c r="P618" s="585"/>
      <c r="S618" s="68"/>
      <c r="T618" s="905"/>
      <c r="U618" s="201"/>
      <c r="Y618" s="546"/>
    </row>
    <row r="619" spans="1:26" ht="13.5" thickBot="1">
      <c r="A619" s="310" t="str">
        <f t="shared" si="438"/>
        <v/>
      </c>
      <c r="B619" s="266">
        <f>MAX($B$8:B618)+0.01</f>
        <v>15.049999999999999</v>
      </c>
      <c r="C619" s="819" t="s">
        <v>1055</v>
      </c>
      <c r="D619" s="832"/>
      <c r="E619" s="713"/>
      <c r="F619" s="683"/>
      <c r="G619" s="683"/>
      <c r="H619" s="684"/>
      <c r="I619" s="684"/>
      <c r="J619" s="684"/>
      <c r="K619" s="684"/>
      <c r="L619" s="684"/>
      <c r="M619" s="685"/>
      <c r="N619" s="685"/>
      <c r="O619" s="685"/>
      <c r="P619" s="697" t="s">
        <v>1068</v>
      </c>
      <c r="S619" s="68"/>
      <c r="T619" s="905"/>
      <c r="U619" s="204"/>
      <c r="Y619" s="546"/>
    </row>
    <row r="620" spans="1:26">
      <c r="A620" s="310" t="str">
        <f t="shared" si="438"/>
        <v/>
      </c>
      <c r="B620" s="262"/>
      <c r="C620" s="816"/>
      <c r="D620" s="826"/>
      <c r="E620" s="709"/>
      <c r="F620" s="687"/>
      <c r="G620" s="687"/>
      <c r="H620" s="589"/>
      <c r="I620" s="589"/>
      <c r="J620" s="589"/>
      <c r="K620" s="589"/>
      <c r="L620" s="589"/>
      <c r="M620" s="688"/>
      <c r="N620" s="688"/>
      <c r="O620" s="688"/>
      <c r="P620" s="689"/>
      <c r="Q620" s="69"/>
      <c r="R620" s="69"/>
      <c r="S620" s="227"/>
      <c r="T620" s="906" t="s">
        <v>1225</v>
      </c>
      <c r="U620" s="205"/>
      <c r="V620" s="69"/>
      <c r="W620" s="69"/>
      <c r="Y620" s="546"/>
    </row>
    <row r="621" spans="1:26">
      <c r="A621" s="310">
        <f t="shared" ref="A621" si="439">IF(ISNUMBER(E621),ROW(),"")</f>
        <v>621</v>
      </c>
      <c r="B621" s="262"/>
      <c r="C621" s="726" t="s">
        <v>1005</v>
      </c>
      <c r="D621" s="153"/>
      <c r="E621" s="678">
        <v>51500</v>
      </c>
      <c r="F621" s="629">
        <v>10000</v>
      </c>
      <c r="G621" s="629">
        <v>100</v>
      </c>
      <c r="H621" s="630">
        <v>40</v>
      </c>
      <c r="I621" s="594">
        <f>MROUND(E621*(1-$E$677/100)/F621,0.05)</f>
        <v>4.6500000000000004</v>
      </c>
      <c r="J621" s="595">
        <f>MROUND($E621*(1+$E$677/100)/2*$E$682/100/$G621,0.05)</f>
        <v>4.25</v>
      </c>
      <c r="K621" s="600">
        <f>MROUND($E621*(1+$E$677/100)/2*$E$678/100/$G621,0.05)</f>
        <v>29.75</v>
      </c>
      <c r="L621" s="601">
        <f t="shared" ref="L621:L623" si="440">SUM(I621:K621)</f>
        <v>38.65</v>
      </c>
      <c r="M621" s="691">
        <f>MROUND($E621*$H621/100/$F621,0.05)</f>
        <v>2.0500000000000003</v>
      </c>
      <c r="N621" s="650">
        <f t="shared" ref="N621:N623" si="441">MROUND(Y621*Z621,0.05)</f>
        <v>0</v>
      </c>
      <c r="O621" s="601">
        <f t="shared" ref="O621:O623" si="442">SUM(M621:N621)</f>
        <v>2.0500000000000003</v>
      </c>
      <c r="P621" s="599">
        <f t="shared" ref="P621:P623" si="443">O621+L621</f>
        <v>40.699999999999996</v>
      </c>
      <c r="Q621" s="69"/>
      <c r="R621" s="69"/>
      <c r="S621" s="227"/>
      <c r="T621" s="906">
        <v>1.5</v>
      </c>
      <c r="U621" s="208">
        <f t="shared" ref="U621:U623" si="444">ROUNDDOWN(7.5*T621/5,0)*5</f>
        <v>10</v>
      </c>
      <c r="V621" s="69"/>
      <c r="W621" s="69"/>
      <c r="Y621" s="537"/>
      <c r="Z621" s="69"/>
    </row>
    <row r="622" spans="1:26">
      <c r="A622" s="310">
        <f t="shared" ref="A622:A623" si="445">IF(ISNUMBER(E622),ROW(),"")</f>
        <v>622</v>
      </c>
      <c r="B622" s="262"/>
      <c r="C622" s="726" t="s">
        <v>384</v>
      </c>
      <c r="D622" s="153"/>
      <c r="E622" s="678">
        <v>152250</v>
      </c>
      <c r="F622" s="629">
        <v>10000</v>
      </c>
      <c r="G622" s="629">
        <v>100</v>
      </c>
      <c r="H622" s="630">
        <v>40</v>
      </c>
      <c r="I622" s="594">
        <f>MROUND(E622*(1-$E$677/100)/F622,0.05)</f>
        <v>13.700000000000001</v>
      </c>
      <c r="J622" s="595">
        <f>MROUND($E622*(1+$E$677/100)/2*$E$682/100/$G622,0.05)</f>
        <v>12.55</v>
      </c>
      <c r="K622" s="600">
        <f>MROUND($E622*(1+$E$677/100)/2*$E$678/100/$G622,0.05)</f>
        <v>87.9</v>
      </c>
      <c r="L622" s="601">
        <f t="shared" si="440"/>
        <v>114.15</v>
      </c>
      <c r="M622" s="691">
        <f>MROUND($E622*$H622/100/$F622,0.05)</f>
        <v>6.1000000000000005</v>
      </c>
      <c r="N622" s="650">
        <f t="shared" si="441"/>
        <v>0</v>
      </c>
      <c r="O622" s="601">
        <f t="shared" si="442"/>
        <v>6.1000000000000005</v>
      </c>
      <c r="P622" s="599">
        <f t="shared" si="443"/>
        <v>120.25</v>
      </c>
      <c r="Q622" s="69"/>
      <c r="R622" s="69"/>
      <c r="S622" s="227"/>
      <c r="T622" s="906">
        <v>4</v>
      </c>
      <c r="U622" s="208">
        <f t="shared" si="444"/>
        <v>30</v>
      </c>
      <c r="V622" s="69"/>
      <c r="W622" s="69"/>
      <c r="Y622" s="445"/>
      <c r="Z622" s="69"/>
    </row>
    <row r="623" spans="1:26">
      <c r="A623" s="310">
        <f t="shared" si="445"/>
        <v>623</v>
      </c>
      <c r="B623" s="262"/>
      <c r="C623" s="726" t="s">
        <v>385</v>
      </c>
      <c r="D623" s="153"/>
      <c r="E623" s="678">
        <v>183750</v>
      </c>
      <c r="F623" s="629">
        <v>10000</v>
      </c>
      <c r="G623" s="629">
        <v>100</v>
      </c>
      <c r="H623" s="630">
        <v>40</v>
      </c>
      <c r="I623" s="594">
        <f>MROUND(E623*(1-$E$677/100)/F623,0.05)</f>
        <v>16.55</v>
      </c>
      <c r="J623" s="595">
        <f>MROUND($E623*(1+$E$677/100)/2*$E$682/100/$G623,0.05)</f>
        <v>15.15</v>
      </c>
      <c r="K623" s="600">
        <f>MROUND($E623*(1+$E$677/100)/2*$E$678/100/$G623,0.05)</f>
        <v>106.10000000000001</v>
      </c>
      <c r="L623" s="601">
        <f t="shared" si="440"/>
        <v>137.80000000000001</v>
      </c>
      <c r="M623" s="691">
        <f>MROUND($E623*$H623/100/$F623,0.05)</f>
        <v>7.3500000000000005</v>
      </c>
      <c r="N623" s="650">
        <f t="shared" si="441"/>
        <v>0</v>
      </c>
      <c r="O623" s="601">
        <f t="shared" si="442"/>
        <v>7.3500000000000005</v>
      </c>
      <c r="P623" s="599">
        <f t="shared" si="443"/>
        <v>145.15</v>
      </c>
      <c r="Q623" s="69"/>
      <c r="R623" s="69"/>
      <c r="S623" s="227"/>
      <c r="T623" s="906">
        <v>6</v>
      </c>
      <c r="U623" s="208">
        <f t="shared" si="444"/>
        <v>45</v>
      </c>
      <c r="V623" s="69"/>
      <c r="W623" s="69"/>
      <c r="Y623" s="445"/>
    </row>
    <row r="624" spans="1:26">
      <c r="A624" s="156" t="str">
        <f t="shared" si="415"/>
        <v/>
      </c>
      <c r="C624" s="818"/>
      <c r="D624" s="752"/>
      <c r="E624" s="563"/>
      <c r="F624" s="636"/>
      <c r="G624" s="636"/>
      <c r="H624" s="636"/>
      <c r="I624" s="605"/>
      <c r="J624" s="605"/>
      <c r="K624" s="605"/>
      <c r="L624" s="607"/>
      <c r="M624" s="608"/>
      <c r="N624" s="608"/>
      <c r="O624" s="608"/>
      <c r="P624" s="609"/>
      <c r="U624" s="209"/>
      <c r="Y624" s="189"/>
    </row>
    <row r="625" spans="1:26">
      <c r="A625" s="156" t="str">
        <f t="shared" si="415"/>
        <v/>
      </c>
      <c r="C625" s="837"/>
      <c r="D625" s="182"/>
      <c r="E625" s="560"/>
      <c r="F625" s="664"/>
      <c r="G625" s="664"/>
      <c r="H625" s="664"/>
      <c r="I625" s="594"/>
      <c r="J625" s="594"/>
      <c r="K625" s="594"/>
      <c r="L625" s="596"/>
      <c r="M625" s="598"/>
      <c r="N625" s="598"/>
      <c r="O625" s="598"/>
      <c r="P625" s="596"/>
      <c r="U625" s="202"/>
      <c r="Y625" s="189"/>
    </row>
    <row r="626" spans="1:26">
      <c r="A626" s="156" t="str">
        <f t="shared" si="415"/>
        <v/>
      </c>
      <c r="B626" s="261"/>
      <c r="C626" s="725"/>
      <c r="D626" s="153"/>
      <c r="E626" s="557"/>
      <c r="F626" s="585"/>
      <c r="G626" s="585"/>
      <c r="H626" s="585"/>
      <c r="I626" s="585"/>
      <c r="J626" s="585"/>
      <c r="K626" s="585"/>
      <c r="L626" s="585"/>
      <c r="M626" s="175"/>
      <c r="N626" s="175"/>
      <c r="O626" s="175"/>
      <c r="P626" s="585"/>
      <c r="U626" s="201"/>
      <c r="Y626" s="189"/>
    </row>
    <row r="627" spans="1:26" s="452" customFormat="1" ht="23.25" customHeight="1" thickBot="1">
      <c r="A627" s="31" t="str">
        <f t="shared" si="415"/>
        <v/>
      </c>
      <c r="B627" s="287">
        <f>ROUNDDOWN(MAX($B$8:B626),0)+1</f>
        <v>16</v>
      </c>
      <c r="C627" s="724" t="s">
        <v>42</v>
      </c>
      <c r="D627" s="301"/>
      <c r="E627" s="558"/>
      <c r="F627" s="297"/>
      <c r="G627" s="297"/>
      <c r="H627" s="297"/>
      <c r="I627" s="579"/>
      <c r="J627" s="579"/>
      <c r="K627" s="579"/>
      <c r="L627" s="579"/>
      <c r="M627" s="298"/>
      <c r="N627" s="298"/>
      <c r="O627" s="298"/>
      <c r="P627" s="299"/>
      <c r="Q627" s="158"/>
      <c r="R627" s="158"/>
      <c r="S627" s="158"/>
      <c r="T627" s="902"/>
      <c r="U627" s="305"/>
      <c r="V627" s="158"/>
      <c r="W627" s="158"/>
      <c r="X627" s="159"/>
      <c r="Y627" s="160"/>
      <c r="Z627" s="161"/>
    </row>
    <row r="628" spans="1:26">
      <c r="A628" s="156" t="str">
        <f t="shared" si="415"/>
        <v/>
      </c>
      <c r="B628" s="261"/>
      <c r="C628" s="725"/>
      <c r="D628" s="153"/>
      <c r="E628" s="557"/>
      <c r="F628" s="585"/>
      <c r="G628" s="585"/>
      <c r="H628" s="585"/>
      <c r="I628" s="585"/>
      <c r="J628" s="597"/>
      <c r="K628" s="585"/>
      <c r="L628" s="585"/>
      <c r="M628" s="175"/>
      <c r="N628" s="175"/>
      <c r="O628" s="175"/>
      <c r="P628" s="585"/>
      <c r="U628" s="202"/>
      <c r="Y628" s="189"/>
    </row>
    <row r="629" spans="1:26" ht="13.5" thickBot="1">
      <c r="A629" s="156" t="str">
        <f t="shared" si="415"/>
        <v/>
      </c>
      <c r="B629" s="266">
        <f>MAX($B$8:B628)+0.01</f>
        <v>16.010000000000002</v>
      </c>
      <c r="C629" s="819" t="s">
        <v>334</v>
      </c>
      <c r="D629" s="832"/>
      <c r="E629" s="713"/>
      <c r="F629" s="683"/>
      <c r="G629" s="683"/>
      <c r="H629" s="684"/>
      <c r="I629" s="684"/>
      <c r="J629" s="684"/>
      <c r="K629" s="684"/>
      <c r="L629" s="684"/>
      <c r="M629" s="685"/>
      <c r="N629" s="685"/>
      <c r="O629" s="685"/>
      <c r="P629" s="697" t="s">
        <v>927</v>
      </c>
      <c r="U629" s="204"/>
      <c r="Y629" s="189"/>
    </row>
    <row r="630" spans="1:26">
      <c r="A630" s="156" t="str">
        <f t="shared" si="415"/>
        <v/>
      </c>
      <c r="B630" s="261"/>
      <c r="C630" s="816"/>
      <c r="D630" s="826"/>
      <c r="E630" s="709"/>
      <c r="F630" s="687"/>
      <c r="G630" s="687"/>
      <c r="H630" s="589"/>
      <c r="I630" s="589"/>
      <c r="J630" s="589"/>
      <c r="K630" s="589"/>
      <c r="L630" s="589"/>
      <c r="M630" s="688"/>
      <c r="N630" s="688"/>
      <c r="O630" s="688"/>
      <c r="P630" s="689"/>
      <c r="Q630" s="69"/>
      <c r="R630" s="69"/>
      <c r="S630" s="69"/>
      <c r="T630" s="903"/>
      <c r="U630" s="205"/>
      <c r="Y630" s="189"/>
    </row>
    <row r="631" spans="1:26">
      <c r="A631" s="156" t="str">
        <f t="shared" si="415"/>
        <v/>
      </c>
      <c r="B631" s="261"/>
      <c r="C631" s="727" t="s">
        <v>395</v>
      </c>
      <c r="D631" s="153"/>
      <c r="E631" s="710"/>
      <c r="F631" s="690"/>
      <c r="G631" s="690"/>
      <c r="H631" s="585"/>
      <c r="I631" s="585"/>
      <c r="J631" s="585"/>
      <c r="K631" s="585"/>
      <c r="L631" s="585"/>
      <c r="M631" s="175"/>
      <c r="N631" s="175"/>
      <c r="O631" s="175"/>
      <c r="P631" s="586"/>
      <c r="Q631" s="69"/>
      <c r="R631" s="69"/>
      <c r="S631" s="69"/>
      <c r="T631" s="903"/>
      <c r="U631" s="205"/>
      <c r="Y631" s="189"/>
    </row>
    <row r="632" spans="1:26">
      <c r="A632" s="156">
        <f t="shared" si="415"/>
        <v>632</v>
      </c>
      <c r="B632" s="262"/>
      <c r="C632" s="835" t="s">
        <v>743</v>
      </c>
      <c r="D632" s="153"/>
      <c r="E632" s="678">
        <v>125750</v>
      </c>
      <c r="F632" s="629">
        <v>2500</v>
      </c>
      <c r="G632" s="629">
        <v>250</v>
      </c>
      <c r="H632" s="630">
        <v>30</v>
      </c>
      <c r="I632" s="594">
        <f>MROUND(E632*(1-$E$677/100)/F632,0.05)</f>
        <v>45.25</v>
      </c>
      <c r="J632" s="595">
        <f>MROUND($E632*(1+$E$677/100)/2*$E$682/100/$G632,0.05)</f>
        <v>4.1500000000000004</v>
      </c>
      <c r="K632" s="600">
        <f>MROUND($E632*(1+$E$677/100)/2*$E$678/100/$G632,0.05)</f>
        <v>29.05</v>
      </c>
      <c r="L632" s="601">
        <f t="shared" ref="L632:L635" si="446">SUM(I632:K632)</f>
        <v>78.45</v>
      </c>
      <c r="M632" s="691">
        <f>MROUND($E632*$H632/100/$F632,0.05)</f>
        <v>15.100000000000001</v>
      </c>
      <c r="N632" s="650">
        <f t="shared" ref="N632:N635" si="447">MROUND(Y632*Z632,0.05)</f>
        <v>0</v>
      </c>
      <c r="O632" s="601">
        <f t="shared" ref="O632:O635" si="448">SUM(M632:N632)</f>
        <v>15.100000000000001</v>
      </c>
      <c r="P632" s="599">
        <f t="shared" ref="P632:P635" si="449">O632+L632</f>
        <v>93.550000000000011</v>
      </c>
      <c r="Q632" s="69"/>
      <c r="R632" s="69"/>
      <c r="S632" s="69"/>
      <c r="T632" s="903"/>
      <c r="U632" s="208" t="s">
        <v>342</v>
      </c>
      <c r="V632" s="69"/>
      <c r="W632" s="69"/>
      <c r="Y632" s="189"/>
    </row>
    <row r="633" spans="1:26">
      <c r="A633" s="156">
        <f t="shared" si="415"/>
        <v>633</v>
      </c>
      <c r="B633" s="262"/>
      <c r="C633" s="835" t="s">
        <v>744</v>
      </c>
      <c r="D633" s="153"/>
      <c r="E633" s="678">
        <v>136000</v>
      </c>
      <c r="F633" s="629">
        <v>2500</v>
      </c>
      <c r="G633" s="629">
        <v>250</v>
      </c>
      <c r="H633" s="630">
        <v>30</v>
      </c>
      <c r="I633" s="594">
        <f>MROUND(E633*(1-$E$677/100)/F633,0.05)</f>
        <v>48.95</v>
      </c>
      <c r="J633" s="595">
        <f>MROUND($E633*(1+$E$677/100)/2*$E$682/100/$G633,0.05)</f>
        <v>4.5</v>
      </c>
      <c r="K633" s="600">
        <f>MROUND($E633*(1+$E$677/100)/2*$E$678/100/$G633,0.05)</f>
        <v>31.400000000000002</v>
      </c>
      <c r="L633" s="601">
        <f t="shared" si="446"/>
        <v>84.850000000000009</v>
      </c>
      <c r="M633" s="691">
        <f>MROUND($E633*$H633/100/$F633,0.05)</f>
        <v>16.3</v>
      </c>
      <c r="N633" s="650">
        <f t="shared" si="447"/>
        <v>0</v>
      </c>
      <c r="O633" s="601">
        <f t="shared" si="448"/>
        <v>16.3</v>
      </c>
      <c r="P633" s="599">
        <f t="shared" si="449"/>
        <v>101.15</v>
      </c>
      <c r="Q633" s="69"/>
      <c r="R633" s="69"/>
      <c r="S633" s="69"/>
      <c r="T633" s="903"/>
      <c r="U633" s="208" t="s">
        <v>421</v>
      </c>
      <c r="V633" s="69"/>
      <c r="W633" s="69"/>
      <c r="Y633" s="189"/>
    </row>
    <row r="634" spans="1:26">
      <c r="A634" s="156">
        <f t="shared" si="415"/>
        <v>634</v>
      </c>
      <c r="B634" s="262"/>
      <c r="C634" s="835" t="s">
        <v>745</v>
      </c>
      <c r="D634" s="153"/>
      <c r="E634" s="678">
        <v>110000</v>
      </c>
      <c r="F634" s="629">
        <v>2500</v>
      </c>
      <c r="G634" s="629">
        <v>250</v>
      </c>
      <c r="H634" s="630">
        <v>30</v>
      </c>
      <c r="I634" s="594">
        <f>MROUND(E634*(1-$E$677/100)/F634,0.05)</f>
        <v>39.6</v>
      </c>
      <c r="J634" s="595">
        <f>MROUND($E634*(1+$E$677/100)/2*$E$682/100/$G634,0.05)</f>
        <v>3.6500000000000004</v>
      </c>
      <c r="K634" s="600">
        <f>MROUND($E634*(1+$E$677/100)/2*$E$678/100/$G634,0.05)</f>
        <v>25.400000000000002</v>
      </c>
      <c r="L634" s="601">
        <f t="shared" si="446"/>
        <v>68.650000000000006</v>
      </c>
      <c r="M634" s="691">
        <f>MROUND($E634*$H634/100/$F634,0.05)</f>
        <v>13.200000000000001</v>
      </c>
      <c r="N634" s="650">
        <f t="shared" si="447"/>
        <v>0</v>
      </c>
      <c r="O634" s="601">
        <f t="shared" si="448"/>
        <v>13.200000000000001</v>
      </c>
      <c r="P634" s="599">
        <f t="shared" si="449"/>
        <v>81.850000000000009</v>
      </c>
      <c r="Q634" s="69"/>
      <c r="R634" s="69"/>
      <c r="S634" s="69"/>
      <c r="T634" s="903"/>
      <c r="U634" s="208" t="s">
        <v>342</v>
      </c>
      <c r="V634" s="69"/>
      <c r="W634" s="69"/>
      <c r="Y634" s="189"/>
    </row>
    <row r="635" spans="1:26">
      <c r="A635" s="156">
        <f t="shared" si="415"/>
        <v>635</v>
      </c>
      <c r="B635" s="262"/>
      <c r="C635" s="835" t="s">
        <v>746</v>
      </c>
      <c r="D635" s="153"/>
      <c r="E635" s="678">
        <v>191000</v>
      </c>
      <c r="F635" s="629">
        <v>2500</v>
      </c>
      <c r="G635" s="629">
        <v>250</v>
      </c>
      <c r="H635" s="630">
        <v>30</v>
      </c>
      <c r="I635" s="594">
        <f>MROUND(E635*(1-$E$677/100)/F635,0.05)</f>
        <v>68.75</v>
      </c>
      <c r="J635" s="595">
        <f>MROUND($E635*(1+$E$677/100)/2*$E$682/100/$G635,0.05)</f>
        <v>6.3000000000000007</v>
      </c>
      <c r="K635" s="600">
        <f>MROUND($E635*(1+$E$677/100)/2*$E$678/100/$G635,0.05)</f>
        <v>44.1</v>
      </c>
      <c r="L635" s="601">
        <f t="shared" si="446"/>
        <v>119.15</v>
      </c>
      <c r="M635" s="691">
        <f>MROUND($E635*$H635/100/$F635,0.05)</f>
        <v>22.900000000000002</v>
      </c>
      <c r="N635" s="650">
        <f t="shared" si="447"/>
        <v>0</v>
      </c>
      <c r="O635" s="601">
        <f t="shared" si="448"/>
        <v>22.900000000000002</v>
      </c>
      <c r="P635" s="599">
        <f t="shared" si="449"/>
        <v>142.05000000000001</v>
      </c>
      <c r="Q635" s="69"/>
      <c r="R635" s="69"/>
      <c r="S635" s="69"/>
      <c r="T635" s="903"/>
      <c r="U635" s="208" t="s">
        <v>421</v>
      </c>
      <c r="V635" s="69"/>
      <c r="W635" s="69"/>
      <c r="Y635" s="189"/>
    </row>
    <row r="636" spans="1:26">
      <c r="A636" s="156" t="str">
        <f t="shared" si="415"/>
        <v/>
      </c>
      <c r="B636" s="262"/>
      <c r="C636" s="726"/>
      <c r="D636" s="153"/>
      <c r="E636" s="790"/>
      <c r="F636" s="629"/>
      <c r="G636" s="629"/>
      <c r="H636" s="629"/>
      <c r="I636" s="594"/>
      <c r="J636" s="595"/>
      <c r="K636" s="594"/>
      <c r="L636" s="596"/>
      <c r="M636" s="598"/>
      <c r="N636" s="598"/>
      <c r="O636" s="596"/>
      <c r="P636" s="599"/>
      <c r="Q636" s="69"/>
      <c r="R636" s="69"/>
      <c r="S636" s="69"/>
      <c r="T636" s="903"/>
      <c r="U636" s="205"/>
      <c r="V636" s="69"/>
      <c r="W636" s="69"/>
      <c r="Y636" s="189"/>
    </row>
    <row r="637" spans="1:26">
      <c r="A637" s="156" t="str">
        <f t="shared" si="415"/>
        <v/>
      </c>
      <c r="B637" s="262"/>
      <c r="C637" s="822" t="s">
        <v>754</v>
      </c>
      <c r="D637" s="153"/>
      <c r="E637" s="790"/>
      <c r="F637" s="629"/>
      <c r="G637" s="629"/>
      <c r="H637" s="629"/>
      <c r="I637" s="594"/>
      <c r="J637" s="595"/>
      <c r="K637" s="594"/>
      <c r="L637" s="596"/>
      <c r="M637" s="598"/>
      <c r="N637" s="598"/>
      <c r="O637" s="596"/>
      <c r="P637" s="599"/>
      <c r="Q637" s="69"/>
      <c r="R637" s="69"/>
      <c r="S637" s="69"/>
      <c r="T637" s="903"/>
      <c r="U637" s="205"/>
      <c r="V637" s="69"/>
      <c r="W637" s="69"/>
      <c r="Y637" s="189"/>
    </row>
    <row r="638" spans="1:26">
      <c r="A638" s="156">
        <f t="shared" si="415"/>
        <v>638</v>
      </c>
      <c r="B638" s="262"/>
      <c r="C638" s="726" t="s">
        <v>335</v>
      </c>
      <c r="D638" s="153"/>
      <c r="E638" s="678">
        <v>20500</v>
      </c>
      <c r="F638" s="629">
        <v>2500</v>
      </c>
      <c r="G638" s="629">
        <v>250</v>
      </c>
      <c r="H638" s="630">
        <v>30</v>
      </c>
      <c r="I638" s="594">
        <f t="shared" ref="I638:I644" si="450">MROUND(E638*(1-$E$677/100)/F638,0.05)</f>
        <v>7.4</v>
      </c>
      <c r="J638" s="595">
        <f t="shared" ref="J638:J644" si="451">MROUND($E638*(1+$E$677/100)/2*$E$682/100/$G638,0.05)</f>
        <v>0.70000000000000007</v>
      </c>
      <c r="K638" s="600">
        <f t="shared" ref="K638:K644" si="452">MROUND($E638*(1+$E$677/100)/2*$E$678/100/$G638,0.05)</f>
        <v>4.75</v>
      </c>
      <c r="L638" s="601">
        <f t="shared" ref="L638:L643" si="453">SUM(I638:K638)</f>
        <v>12.85</v>
      </c>
      <c r="M638" s="691">
        <f t="shared" ref="M638:M644" si="454">MROUND($E638*$H638/100/$F638,0.05)</f>
        <v>2.4500000000000002</v>
      </c>
      <c r="N638" s="650">
        <f t="shared" ref="N638:N643" si="455">MROUND(Y638*Z638,0.05)</f>
        <v>0</v>
      </c>
      <c r="O638" s="601">
        <f t="shared" ref="O638:O643" si="456">SUM(M638:N638)</f>
        <v>2.4500000000000002</v>
      </c>
      <c r="P638" s="599">
        <f t="shared" ref="P638:P643" si="457">O638+L638</f>
        <v>15.3</v>
      </c>
      <c r="Q638" s="69"/>
      <c r="R638" s="69"/>
      <c r="S638" s="69"/>
      <c r="T638" s="903"/>
      <c r="U638" s="208"/>
      <c r="V638" s="69"/>
      <c r="W638" s="69"/>
      <c r="Y638" s="189"/>
      <c r="Z638" s="69"/>
    </row>
    <row r="639" spans="1:26">
      <c r="A639" s="156">
        <f t="shared" si="415"/>
        <v>639</v>
      </c>
      <c r="B639" s="262"/>
      <c r="C639" s="726" t="s">
        <v>407</v>
      </c>
      <c r="D639" s="153"/>
      <c r="E639" s="678">
        <v>15250</v>
      </c>
      <c r="F639" s="629">
        <v>2500</v>
      </c>
      <c r="G639" s="629">
        <v>250</v>
      </c>
      <c r="H639" s="630">
        <v>30</v>
      </c>
      <c r="I639" s="594">
        <f t="shared" si="450"/>
        <v>5.5</v>
      </c>
      <c r="J639" s="595">
        <f t="shared" si="451"/>
        <v>0.5</v>
      </c>
      <c r="K639" s="600">
        <f t="shared" si="452"/>
        <v>3.5</v>
      </c>
      <c r="L639" s="601">
        <f t="shared" si="453"/>
        <v>9.5</v>
      </c>
      <c r="M639" s="691">
        <f t="shared" si="454"/>
        <v>1.85</v>
      </c>
      <c r="N639" s="650">
        <f t="shared" si="455"/>
        <v>0</v>
      </c>
      <c r="O639" s="601">
        <f t="shared" si="456"/>
        <v>1.85</v>
      </c>
      <c r="P639" s="599">
        <f t="shared" si="457"/>
        <v>11.35</v>
      </c>
      <c r="Q639" s="69"/>
      <c r="R639" s="69"/>
      <c r="S639" s="69"/>
      <c r="T639" s="903"/>
      <c r="U639" s="208"/>
      <c r="V639" s="69"/>
      <c r="W639" s="69"/>
      <c r="Y639" s="189"/>
      <c r="Z639" s="69"/>
    </row>
    <row r="640" spans="1:26">
      <c r="A640" s="156">
        <f t="shared" si="415"/>
        <v>640</v>
      </c>
      <c r="B640" s="262"/>
      <c r="C640" s="726" t="s">
        <v>747</v>
      </c>
      <c r="D640" s="153"/>
      <c r="E640" s="678">
        <v>22000</v>
      </c>
      <c r="F640" s="629">
        <v>2500</v>
      </c>
      <c r="G640" s="629">
        <v>250</v>
      </c>
      <c r="H640" s="630">
        <v>30</v>
      </c>
      <c r="I640" s="594">
        <f t="shared" si="450"/>
        <v>7.9</v>
      </c>
      <c r="J640" s="595">
        <f t="shared" si="451"/>
        <v>0.75</v>
      </c>
      <c r="K640" s="600">
        <f t="shared" si="452"/>
        <v>5.1000000000000005</v>
      </c>
      <c r="L640" s="601">
        <f t="shared" si="453"/>
        <v>13.75</v>
      </c>
      <c r="M640" s="691">
        <f t="shared" si="454"/>
        <v>2.6500000000000004</v>
      </c>
      <c r="N640" s="650">
        <f t="shared" si="455"/>
        <v>0</v>
      </c>
      <c r="O640" s="601">
        <f t="shared" si="456"/>
        <v>2.6500000000000004</v>
      </c>
      <c r="P640" s="599">
        <f t="shared" si="457"/>
        <v>16.399999999999999</v>
      </c>
      <c r="Q640" s="69"/>
      <c r="R640" s="69"/>
      <c r="S640" s="69"/>
      <c r="T640" s="903"/>
      <c r="U640" s="208"/>
      <c r="V640" s="69"/>
      <c r="W640" s="69"/>
      <c r="Y640" s="189"/>
      <c r="Z640" s="69"/>
    </row>
    <row r="641" spans="1:26">
      <c r="A641" s="156">
        <f t="shared" si="415"/>
        <v>641</v>
      </c>
      <c r="B641" s="262"/>
      <c r="C641" s="726" t="s">
        <v>336</v>
      </c>
      <c r="D641" s="153"/>
      <c r="E641" s="678">
        <v>43500</v>
      </c>
      <c r="F641" s="629">
        <v>2500</v>
      </c>
      <c r="G641" s="629">
        <v>250</v>
      </c>
      <c r="H641" s="630">
        <v>30</v>
      </c>
      <c r="I641" s="594">
        <f t="shared" si="450"/>
        <v>15.65</v>
      </c>
      <c r="J641" s="595">
        <f t="shared" si="451"/>
        <v>1.4500000000000002</v>
      </c>
      <c r="K641" s="600">
        <f t="shared" si="452"/>
        <v>10.050000000000001</v>
      </c>
      <c r="L641" s="601">
        <f t="shared" si="453"/>
        <v>27.150000000000002</v>
      </c>
      <c r="M641" s="691">
        <f t="shared" si="454"/>
        <v>5.2</v>
      </c>
      <c r="N641" s="650">
        <f t="shared" si="455"/>
        <v>0</v>
      </c>
      <c r="O641" s="601">
        <f t="shared" si="456"/>
        <v>5.2</v>
      </c>
      <c r="P641" s="599">
        <f t="shared" si="457"/>
        <v>32.35</v>
      </c>
      <c r="Q641" s="69"/>
      <c r="R641" s="69"/>
      <c r="S641" s="69"/>
      <c r="T641" s="903"/>
      <c r="U641" s="208"/>
      <c r="V641" s="69"/>
      <c r="W641" s="69"/>
      <c r="Y641" s="189"/>
      <c r="Z641" s="69"/>
    </row>
    <row r="642" spans="1:26">
      <c r="A642" s="156">
        <f t="shared" si="415"/>
        <v>642</v>
      </c>
      <c r="B642" s="262"/>
      <c r="C642" s="726" t="s">
        <v>748</v>
      </c>
      <c r="D642" s="153"/>
      <c r="E642" s="678">
        <v>29500</v>
      </c>
      <c r="F642" s="629">
        <v>2500</v>
      </c>
      <c r="G642" s="629">
        <v>250</v>
      </c>
      <c r="H642" s="630">
        <v>30</v>
      </c>
      <c r="I642" s="594">
        <f t="shared" si="450"/>
        <v>10.600000000000001</v>
      </c>
      <c r="J642" s="595">
        <f t="shared" si="451"/>
        <v>0.95000000000000007</v>
      </c>
      <c r="K642" s="600">
        <f t="shared" si="452"/>
        <v>6.8000000000000007</v>
      </c>
      <c r="L642" s="601">
        <f t="shared" si="453"/>
        <v>18.350000000000001</v>
      </c>
      <c r="M642" s="691">
        <f t="shared" si="454"/>
        <v>3.5500000000000003</v>
      </c>
      <c r="N642" s="650">
        <f t="shared" si="455"/>
        <v>0</v>
      </c>
      <c r="O642" s="601">
        <f t="shared" si="456"/>
        <v>3.5500000000000003</v>
      </c>
      <c r="P642" s="599">
        <f t="shared" si="457"/>
        <v>21.900000000000002</v>
      </c>
      <c r="Q642" s="69"/>
      <c r="R642" s="69"/>
      <c r="S642" s="69"/>
      <c r="T642" s="903"/>
      <c r="U642" s="208"/>
      <c r="V642" s="69"/>
      <c r="W642" s="69"/>
      <c r="Y642" s="189"/>
      <c r="Z642" s="69"/>
    </row>
    <row r="643" spans="1:26">
      <c r="A643" s="156">
        <f t="shared" si="415"/>
        <v>643</v>
      </c>
      <c r="B643" s="262"/>
      <c r="C643" s="726" t="s">
        <v>749</v>
      </c>
      <c r="D643" s="153"/>
      <c r="E643" s="678">
        <v>23250</v>
      </c>
      <c r="F643" s="629">
        <v>2500</v>
      </c>
      <c r="G643" s="629">
        <v>250</v>
      </c>
      <c r="H643" s="630">
        <v>30</v>
      </c>
      <c r="I643" s="594">
        <f t="shared" si="450"/>
        <v>8.35</v>
      </c>
      <c r="J643" s="595">
        <f t="shared" si="451"/>
        <v>0.75</v>
      </c>
      <c r="K643" s="600">
        <f t="shared" si="452"/>
        <v>5.3500000000000005</v>
      </c>
      <c r="L643" s="601">
        <f t="shared" si="453"/>
        <v>14.45</v>
      </c>
      <c r="M643" s="691">
        <f t="shared" si="454"/>
        <v>2.8000000000000003</v>
      </c>
      <c r="N643" s="650">
        <f t="shared" si="455"/>
        <v>0</v>
      </c>
      <c r="O643" s="601">
        <f t="shared" si="456"/>
        <v>2.8000000000000003</v>
      </c>
      <c r="P643" s="599">
        <f t="shared" si="457"/>
        <v>17.25</v>
      </c>
      <c r="Q643" s="69"/>
      <c r="R643" s="69"/>
      <c r="S643" s="69"/>
      <c r="T643" s="903"/>
      <c r="U643" s="208"/>
      <c r="V643" s="69"/>
      <c r="W643" s="69"/>
      <c r="Y643" s="189"/>
      <c r="Z643" s="69"/>
    </row>
    <row r="644" spans="1:26">
      <c r="A644" s="310">
        <f t="shared" ref="A644" si="458">IF(ISNUMBER(E644),ROW(),"")</f>
        <v>644</v>
      </c>
      <c r="B644" s="262"/>
      <c r="C644" s="726" t="s">
        <v>1341</v>
      </c>
      <c r="D644" s="153"/>
      <c r="E644" s="678">
        <v>46750</v>
      </c>
      <c r="F644" s="629">
        <v>2500</v>
      </c>
      <c r="G644" s="629">
        <v>250</v>
      </c>
      <c r="H644" s="630">
        <v>30</v>
      </c>
      <c r="I644" s="594">
        <f t="shared" si="450"/>
        <v>16.850000000000001</v>
      </c>
      <c r="J644" s="595">
        <f t="shared" si="451"/>
        <v>1.55</v>
      </c>
      <c r="K644" s="600">
        <f t="shared" si="452"/>
        <v>10.8</v>
      </c>
      <c r="L644" s="601">
        <f t="shared" ref="L644" si="459">SUM(I644:K644)</f>
        <v>29.200000000000003</v>
      </c>
      <c r="M644" s="691">
        <f t="shared" si="454"/>
        <v>5.6000000000000005</v>
      </c>
      <c r="N644" s="650">
        <f t="shared" ref="N644" si="460">MROUND(Y644*Z644,0.05)</f>
        <v>0</v>
      </c>
      <c r="O644" s="601">
        <f t="shared" ref="O644" si="461">SUM(M644:N644)</f>
        <v>5.6000000000000005</v>
      </c>
      <c r="P644" s="599">
        <f t="shared" ref="P644" si="462">O644+L644</f>
        <v>34.800000000000004</v>
      </c>
      <c r="Q644" s="69"/>
      <c r="R644" s="69"/>
      <c r="S644" s="69"/>
      <c r="T644" s="903"/>
      <c r="U644" s="208"/>
      <c r="V644" s="69"/>
      <c r="W644" s="69"/>
      <c r="Y644" s="772"/>
      <c r="Z644" s="69"/>
    </row>
    <row r="645" spans="1:26">
      <c r="A645" s="156" t="str">
        <f t="shared" si="415"/>
        <v/>
      </c>
      <c r="B645" s="262"/>
      <c r="C645" s="726"/>
      <c r="D645" s="153"/>
      <c r="E645" s="790"/>
      <c r="F645" s="629"/>
      <c r="G645" s="629"/>
      <c r="H645" s="629"/>
      <c r="I645" s="594"/>
      <c r="J645" s="595"/>
      <c r="K645" s="594"/>
      <c r="L645" s="596"/>
      <c r="M645" s="598"/>
      <c r="N645" s="598"/>
      <c r="O645" s="596"/>
      <c r="P645" s="599"/>
      <c r="Q645" s="69"/>
      <c r="R645" s="69"/>
      <c r="S645" s="69"/>
      <c r="T645" s="903"/>
      <c r="U645" s="205"/>
      <c r="V645" s="69"/>
      <c r="W645" s="69"/>
      <c r="Y645" s="189"/>
      <c r="Z645" s="69"/>
    </row>
    <row r="646" spans="1:26">
      <c r="A646" s="156" t="str">
        <f t="shared" si="415"/>
        <v/>
      </c>
      <c r="B646" s="262"/>
      <c r="C646" s="822" t="s">
        <v>755</v>
      </c>
      <c r="D646" s="153"/>
      <c r="E646" s="790"/>
      <c r="F646" s="629"/>
      <c r="G646" s="629"/>
      <c r="H646" s="629"/>
      <c r="I646" s="594"/>
      <c r="J646" s="595"/>
      <c r="K646" s="594"/>
      <c r="L646" s="596"/>
      <c r="M646" s="598"/>
      <c r="N646" s="598"/>
      <c r="O646" s="596"/>
      <c r="P646" s="599"/>
      <c r="Q646" s="69"/>
      <c r="R646" s="69"/>
      <c r="S646" s="69"/>
      <c r="T646" s="903"/>
      <c r="U646" s="205"/>
      <c r="V646" s="69"/>
      <c r="W646" s="69"/>
      <c r="Y646" s="189"/>
      <c r="Z646" s="69"/>
    </row>
    <row r="647" spans="1:26">
      <c r="A647" s="156">
        <f t="shared" si="415"/>
        <v>647</v>
      </c>
      <c r="B647" s="262"/>
      <c r="C647" s="726" t="s">
        <v>750</v>
      </c>
      <c r="D647" s="153"/>
      <c r="E647" s="678">
        <v>136000</v>
      </c>
      <c r="F647" s="629">
        <v>2500</v>
      </c>
      <c r="G647" s="629">
        <v>250</v>
      </c>
      <c r="H647" s="630">
        <v>30</v>
      </c>
      <c r="I647" s="594">
        <f>MROUND(E647*(1-$E$677/100)/F647,0.05)</f>
        <v>48.95</v>
      </c>
      <c r="J647" s="595">
        <f>MROUND($E647*(1+$E$677/100)/2*$E$682/100/$G647,0.05)</f>
        <v>4.5</v>
      </c>
      <c r="K647" s="600">
        <f>MROUND($E647*(1+$E$677/100)/2*$E$678/100/$G647,0.05)</f>
        <v>31.400000000000002</v>
      </c>
      <c r="L647" s="601">
        <f t="shared" ref="L647:L650" si="463">SUM(I647:K647)</f>
        <v>84.850000000000009</v>
      </c>
      <c r="M647" s="691">
        <f>MROUND($E647*$H647/100/$F647,0.05)</f>
        <v>16.3</v>
      </c>
      <c r="N647" s="650">
        <f t="shared" ref="N647:N650" si="464">MROUND(Y647*Z647,0.05)</f>
        <v>0</v>
      </c>
      <c r="O647" s="601">
        <f t="shared" ref="O647:O650" si="465">SUM(M647:N647)</f>
        <v>16.3</v>
      </c>
      <c r="P647" s="599">
        <f t="shared" ref="P647:P650" si="466">O647+L647</f>
        <v>101.15</v>
      </c>
      <c r="Q647" s="69"/>
      <c r="R647" s="69"/>
      <c r="S647" s="69"/>
      <c r="T647" s="903"/>
      <c r="U647" s="208" t="s">
        <v>422</v>
      </c>
      <c r="V647" s="69"/>
      <c r="W647" s="69"/>
      <c r="Y647" s="189"/>
      <c r="Z647" s="69"/>
    </row>
    <row r="648" spans="1:26">
      <c r="A648" s="156">
        <f t="shared" si="415"/>
        <v>648</v>
      </c>
      <c r="B648" s="262"/>
      <c r="C648" s="726" t="s">
        <v>751</v>
      </c>
      <c r="D648" s="153"/>
      <c r="E648" s="678">
        <v>141750</v>
      </c>
      <c r="F648" s="629">
        <v>2500</v>
      </c>
      <c r="G648" s="629">
        <v>250</v>
      </c>
      <c r="H648" s="630">
        <v>30</v>
      </c>
      <c r="I648" s="594">
        <f>MROUND(E648*(1-$E$677/100)/F648,0.05)</f>
        <v>51.050000000000004</v>
      </c>
      <c r="J648" s="595">
        <f>MROUND($E648*(1+$E$677/100)/2*$E$682/100/$G648,0.05)</f>
        <v>4.7</v>
      </c>
      <c r="K648" s="600">
        <f>MROUND($E648*(1+$E$677/100)/2*$E$678/100/$G648,0.05)</f>
        <v>32.75</v>
      </c>
      <c r="L648" s="601">
        <f t="shared" si="463"/>
        <v>88.5</v>
      </c>
      <c r="M648" s="691">
        <f>MROUND($E648*$H648/100/$F648,0.05)</f>
        <v>17</v>
      </c>
      <c r="N648" s="650">
        <f t="shared" si="464"/>
        <v>0</v>
      </c>
      <c r="O648" s="601">
        <f t="shared" si="465"/>
        <v>17</v>
      </c>
      <c r="P648" s="599">
        <f t="shared" si="466"/>
        <v>105.5</v>
      </c>
      <c r="Q648" s="69"/>
      <c r="R648" s="69"/>
      <c r="S648" s="69"/>
      <c r="T648" s="903"/>
      <c r="U648" s="208" t="s">
        <v>423</v>
      </c>
      <c r="V648" s="69"/>
      <c r="W648" s="69"/>
      <c r="Y648" s="189"/>
      <c r="Z648" s="69"/>
    </row>
    <row r="649" spans="1:26">
      <c r="A649" s="156">
        <f t="shared" si="415"/>
        <v>649</v>
      </c>
      <c r="B649" s="262"/>
      <c r="C649" s="726" t="s">
        <v>752</v>
      </c>
      <c r="D649" s="153"/>
      <c r="E649" s="678">
        <v>222750</v>
      </c>
      <c r="F649" s="629">
        <v>2500</v>
      </c>
      <c r="G649" s="629">
        <v>250</v>
      </c>
      <c r="H649" s="630">
        <v>30</v>
      </c>
      <c r="I649" s="594">
        <f>MROUND(E649*(1-$E$677/100)/F649,0.05)</f>
        <v>80.2</v>
      </c>
      <c r="J649" s="595">
        <f>MROUND($E649*(1+$E$677/100)/2*$E$682/100/$G649,0.05)</f>
        <v>7.3500000000000005</v>
      </c>
      <c r="K649" s="600">
        <f>MROUND($E649*(1+$E$677/100)/2*$E$678/100/$G649,0.05)</f>
        <v>51.45</v>
      </c>
      <c r="L649" s="601">
        <f t="shared" si="463"/>
        <v>139</v>
      </c>
      <c r="M649" s="691">
        <f>MROUND($E649*$H649/100/$F649,0.05)</f>
        <v>26.75</v>
      </c>
      <c r="N649" s="650">
        <f t="shared" si="464"/>
        <v>0</v>
      </c>
      <c r="O649" s="601">
        <f t="shared" si="465"/>
        <v>26.75</v>
      </c>
      <c r="P649" s="599">
        <f t="shared" si="466"/>
        <v>165.75</v>
      </c>
      <c r="Q649" s="69"/>
      <c r="R649" s="69"/>
      <c r="S649" s="69"/>
      <c r="T649" s="903"/>
      <c r="U649" s="208" t="s">
        <v>424</v>
      </c>
      <c r="V649" s="69"/>
      <c r="W649" s="69"/>
      <c r="Y649" s="189"/>
      <c r="Z649" s="69"/>
    </row>
    <row r="650" spans="1:26">
      <c r="A650" s="156">
        <f t="shared" si="415"/>
        <v>650</v>
      </c>
      <c r="B650" s="262"/>
      <c r="C650" s="726" t="s">
        <v>753</v>
      </c>
      <c r="D650" s="153"/>
      <c r="E650" s="678">
        <v>249500</v>
      </c>
      <c r="F650" s="629">
        <v>2500</v>
      </c>
      <c r="G650" s="629">
        <v>250</v>
      </c>
      <c r="H650" s="630">
        <v>30</v>
      </c>
      <c r="I650" s="594">
        <f>MROUND(E650*(1-$E$677/100)/F650,0.05)</f>
        <v>89.800000000000011</v>
      </c>
      <c r="J650" s="595">
        <f>MROUND($E650*(1+$E$677/100)/2*$E$682/100/$G650,0.05)</f>
        <v>8.25</v>
      </c>
      <c r="K650" s="600">
        <f>MROUND($E650*(1+$E$677/100)/2*$E$678/100/$G650,0.05)</f>
        <v>57.650000000000006</v>
      </c>
      <c r="L650" s="601">
        <f t="shared" si="463"/>
        <v>155.70000000000002</v>
      </c>
      <c r="M650" s="691">
        <f>MROUND($E650*$H650/100/$F650,0.05)</f>
        <v>29.950000000000003</v>
      </c>
      <c r="N650" s="650">
        <f t="shared" si="464"/>
        <v>0</v>
      </c>
      <c r="O650" s="601">
        <f t="shared" si="465"/>
        <v>29.950000000000003</v>
      </c>
      <c r="P650" s="599">
        <f t="shared" si="466"/>
        <v>185.65000000000003</v>
      </c>
      <c r="Q650" s="69"/>
      <c r="R650" s="69"/>
      <c r="S650" s="69"/>
      <c r="T650" s="903"/>
      <c r="U650" s="208" t="s">
        <v>425</v>
      </c>
      <c r="V650" s="69"/>
      <c r="W650" s="69"/>
      <c r="Y650" s="189"/>
      <c r="Z650" s="69"/>
    </row>
    <row r="651" spans="1:26">
      <c r="A651" s="156" t="str">
        <f t="shared" ref="A651:A654" si="467">IF(ISNUMBER(E651),ROW(),"")</f>
        <v/>
      </c>
      <c r="B651" s="261"/>
      <c r="C651" s="818"/>
      <c r="D651" s="752"/>
      <c r="E651" s="563"/>
      <c r="F651" s="636"/>
      <c r="G651" s="636"/>
      <c r="H651" s="636"/>
      <c r="I651" s="605"/>
      <c r="J651" s="605"/>
      <c r="K651" s="605"/>
      <c r="L651" s="607"/>
      <c r="M651" s="608"/>
      <c r="N651" s="608"/>
      <c r="O651" s="608"/>
      <c r="P651" s="609"/>
      <c r="U651" s="209"/>
      <c r="Y651" s="189"/>
      <c r="Z651" s="69"/>
    </row>
    <row r="652" spans="1:26">
      <c r="A652" s="156" t="str">
        <f t="shared" si="467"/>
        <v/>
      </c>
      <c r="B652" s="261"/>
      <c r="C652" s="725"/>
      <c r="D652" s="153"/>
      <c r="E652" s="557"/>
      <c r="F652" s="585"/>
      <c r="G652" s="585"/>
      <c r="H652" s="585"/>
      <c r="I652" s="585"/>
      <c r="J652" s="585"/>
      <c r="K652" s="585"/>
      <c r="L652" s="585"/>
      <c r="M652" s="175"/>
      <c r="N652" s="175"/>
      <c r="O652" s="175"/>
      <c r="P652" s="585"/>
      <c r="U652" s="201"/>
      <c r="Y652" s="189"/>
      <c r="Z652" s="69"/>
    </row>
    <row r="653" spans="1:26" ht="13.5" thickBot="1">
      <c r="A653" s="310" t="str">
        <f t="shared" si="467"/>
        <v/>
      </c>
      <c r="B653" s="266">
        <f>MAX($B$8:B652)+0.01</f>
        <v>16.020000000000003</v>
      </c>
      <c r="C653" s="819" t="s">
        <v>899</v>
      </c>
      <c r="D653" s="832"/>
      <c r="E653" s="713"/>
      <c r="F653" s="683"/>
      <c r="G653" s="683"/>
      <c r="H653" s="684"/>
      <c r="I653" s="684"/>
      <c r="J653" s="684"/>
      <c r="K653" s="684"/>
      <c r="L653" s="684"/>
      <c r="M653" s="685"/>
      <c r="N653" s="685"/>
      <c r="O653" s="685"/>
      <c r="P653" s="697" t="s">
        <v>928</v>
      </c>
      <c r="U653" s="204"/>
      <c r="Y653" s="456"/>
    </row>
    <row r="654" spans="1:26">
      <c r="A654" s="310" t="str">
        <f t="shared" si="467"/>
        <v/>
      </c>
      <c r="B654" s="261"/>
      <c r="C654" s="816"/>
      <c r="D654" s="826"/>
      <c r="E654" s="709"/>
      <c r="F654" s="687"/>
      <c r="G654" s="687"/>
      <c r="H654" s="589"/>
      <c r="I654" s="589"/>
      <c r="J654" s="589"/>
      <c r="K654" s="589"/>
      <c r="L654" s="589"/>
      <c r="M654" s="688"/>
      <c r="N654" s="688"/>
      <c r="O654" s="688"/>
      <c r="P654" s="689"/>
      <c r="Q654" s="69"/>
      <c r="R654" s="69"/>
      <c r="S654" s="69"/>
      <c r="T654" s="903"/>
      <c r="U654" s="205"/>
      <c r="Y654" s="456"/>
    </row>
    <row r="655" spans="1:26">
      <c r="A655" s="310">
        <f t="shared" ref="A655:A657" si="468">IF(ISNUMBER(E655),ROW(),"")</f>
        <v>655</v>
      </c>
      <c r="C655" s="817" t="s">
        <v>990</v>
      </c>
      <c r="D655" s="167"/>
      <c r="E655" s="678">
        <v>26000</v>
      </c>
      <c r="F655" s="629">
        <v>3000</v>
      </c>
      <c r="G655" s="629">
        <v>75</v>
      </c>
      <c r="H655" s="630">
        <v>60</v>
      </c>
      <c r="I655" s="594">
        <f>MROUND(E655*(1-$E$677/100)/F655,0.05)</f>
        <v>7.8000000000000007</v>
      </c>
      <c r="J655" s="595">
        <f>MROUND($E655*(1+$E$677/100)/2*$E$682/100/$G655,0.05)</f>
        <v>2.85</v>
      </c>
      <c r="K655" s="600">
        <f>MROUND($E655*(1+$E$677/100)/2*$E$678/100/$G655,0.05)</f>
        <v>20</v>
      </c>
      <c r="L655" s="601">
        <f t="shared" ref="L655:L658" si="469">SUM(I655:K655)</f>
        <v>30.65</v>
      </c>
      <c r="M655" s="691">
        <f>MROUND($E655*$H655/100/$F655,0.05)</f>
        <v>5.2</v>
      </c>
      <c r="N655" s="650">
        <f t="shared" ref="N655:N658" si="470">MROUND(Y655*Z655,0.05)</f>
        <v>0</v>
      </c>
      <c r="O655" s="601">
        <f t="shared" ref="O655:O658" si="471">SUM(M655:N655)</f>
        <v>5.2</v>
      </c>
      <c r="P655" s="599">
        <f t="shared" ref="P655:P658" si="472">O655+L655</f>
        <v>35.85</v>
      </c>
      <c r="U655" s="208"/>
      <c r="Y655" s="456"/>
      <c r="Z655" s="69"/>
    </row>
    <row r="656" spans="1:26">
      <c r="A656" s="310">
        <f t="shared" si="468"/>
        <v>656</v>
      </c>
      <c r="C656" s="817" t="s">
        <v>991</v>
      </c>
      <c r="D656" s="167"/>
      <c r="E656" s="678">
        <v>92250</v>
      </c>
      <c r="F656" s="629">
        <v>3000</v>
      </c>
      <c r="G656" s="629">
        <v>75</v>
      </c>
      <c r="H656" s="630">
        <v>60</v>
      </c>
      <c r="I656" s="594">
        <f>MROUND(E656*(1-$E$677/100)/F656,0.05)</f>
        <v>27.700000000000003</v>
      </c>
      <c r="J656" s="595">
        <f>MROUND($E656*(1+$E$677/100)/2*$E$682/100/$G656,0.05)</f>
        <v>10.15</v>
      </c>
      <c r="K656" s="600">
        <f>MROUND($E656*(1+$E$677/100)/2*$E$678/100/$G656,0.05)</f>
        <v>71.05</v>
      </c>
      <c r="L656" s="601">
        <f t="shared" si="469"/>
        <v>108.9</v>
      </c>
      <c r="M656" s="691">
        <f>MROUND($E656*$H656/100/$F656,0.05)</f>
        <v>18.45</v>
      </c>
      <c r="N656" s="650">
        <f t="shared" si="470"/>
        <v>0</v>
      </c>
      <c r="O656" s="601">
        <f t="shared" si="471"/>
        <v>18.45</v>
      </c>
      <c r="P656" s="599">
        <f t="shared" si="472"/>
        <v>127.35000000000001</v>
      </c>
      <c r="U656" s="208"/>
      <c r="Y656" s="456"/>
      <c r="Z656" s="69"/>
    </row>
    <row r="657" spans="1:26">
      <c r="A657" s="310">
        <f t="shared" si="468"/>
        <v>657</v>
      </c>
      <c r="C657" s="817" t="s">
        <v>992</v>
      </c>
      <c r="D657" s="167"/>
      <c r="E657" s="678">
        <v>110000</v>
      </c>
      <c r="F657" s="629">
        <v>3000</v>
      </c>
      <c r="G657" s="629">
        <v>75</v>
      </c>
      <c r="H657" s="630">
        <v>60</v>
      </c>
      <c r="I657" s="594">
        <f>MROUND(E657*(1-$E$677/100)/F657,0.05)</f>
        <v>33</v>
      </c>
      <c r="J657" s="595">
        <f>MROUND($E657*(1+$E$677/100)/2*$E$682/100/$G657,0.05)</f>
        <v>12.100000000000001</v>
      </c>
      <c r="K657" s="600">
        <f>MROUND($E657*(1+$E$677/100)/2*$E$678/100/$G657,0.05)</f>
        <v>84.7</v>
      </c>
      <c r="L657" s="601">
        <f t="shared" si="469"/>
        <v>129.80000000000001</v>
      </c>
      <c r="M657" s="691">
        <f>MROUND($E657*$H657/100/$F657,0.05)</f>
        <v>22</v>
      </c>
      <c r="N657" s="650">
        <f t="shared" si="470"/>
        <v>0</v>
      </c>
      <c r="O657" s="601">
        <f t="shared" si="471"/>
        <v>22</v>
      </c>
      <c r="P657" s="599">
        <f t="shared" si="472"/>
        <v>151.80000000000001</v>
      </c>
      <c r="U657" s="208"/>
      <c r="Y657" s="456"/>
      <c r="Z657" s="69"/>
    </row>
    <row r="658" spans="1:26">
      <c r="A658" s="310">
        <f t="shared" ref="A658" si="473">IF(ISNUMBER(E658),ROW(),"")</f>
        <v>658</v>
      </c>
      <c r="C658" s="817" t="s">
        <v>1090</v>
      </c>
      <c r="D658" s="167"/>
      <c r="E658" s="678">
        <v>168250</v>
      </c>
      <c r="F658" s="629">
        <v>3000</v>
      </c>
      <c r="G658" s="629">
        <v>75</v>
      </c>
      <c r="H658" s="630">
        <v>60</v>
      </c>
      <c r="I658" s="594">
        <f>MROUND(E658*(1-$E$677/100)/F658,0.05)</f>
        <v>50.5</v>
      </c>
      <c r="J658" s="595">
        <f>MROUND($E658*(1+$E$677/100)/2*$E$682/100/$G658,0.05)</f>
        <v>18.5</v>
      </c>
      <c r="K658" s="600">
        <f>MROUND($E658*(1+$E$677/100)/2*$E$678/100/$G658,0.05)</f>
        <v>129.55000000000001</v>
      </c>
      <c r="L658" s="601">
        <f t="shared" si="469"/>
        <v>198.55</v>
      </c>
      <c r="M658" s="691">
        <f>MROUND($E658*$H658/100/$F658,0.05)</f>
        <v>33.65</v>
      </c>
      <c r="N658" s="650">
        <f t="shared" si="470"/>
        <v>0</v>
      </c>
      <c r="O658" s="601">
        <f t="shared" si="471"/>
        <v>33.65</v>
      </c>
      <c r="P658" s="599">
        <f t="shared" si="472"/>
        <v>232.20000000000002</v>
      </c>
      <c r="U658" s="208"/>
      <c r="Y658" s="748"/>
      <c r="Z658" s="69"/>
    </row>
    <row r="659" spans="1:26">
      <c r="A659" s="310" t="str">
        <f t="shared" ref="A659:A662" si="474">IF(ISNUMBER(E659),ROW(),"")</f>
        <v/>
      </c>
      <c r="B659" s="261"/>
      <c r="C659" s="818"/>
      <c r="D659" s="752"/>
      <c r="E659" s="563"/>
      <c r="F659" s="636"/>
      <c r="G659" s="636"/>
      <c r="H659" s="636"/>
      <c r="I659" s="605"/>
      <c r="J659" s="605"/>
      <c r="K659" s="605"/>
      <c r="L659" s="607"/>
      <c r="M659" s="608"/>
      <c r="N659" s="608"/>
      <c r="O659" s="608"/>
      <c r="P659" s="609"/>
      <c r="U659" s="209"/>
      <c r="Y659" s="456"/>
      <c r="Z659" s="69"/>
    </row>
    <row r="660" spans="1:26">
      <c r="A660" s="310" t="str">
        <f t="shared" si="474"/>
        <v/>
      </c>
      <c r="B660" s="261"/>
      <c r="C660" s="725"/>
      <c r="D660" s="153"/>
      <c r="E660" s="557"/>
      <c r="F660" s="585"/>
      <c r="G660" s="585"/>
      <c r="H660" s="585"/>
      <c r="I660" s="585"/>
      <c r="J660" s="585"/>
      <c r="K660" s="585"/>
      <c r="L660" s="585"/>
      <c r="M660" s="175"/>
      <c r="N660" s="175"/>
      <c r="O660" s="175"/>
      <c r="P660" s="585"/>
      <c r="U660" s="201"/>
      <c r="Y660" s="456"/>
      <c r="Z660" s="69"/>
    </row>
    <row r="661" spans="1:26" ht="13.5" thickBot="1">
      <c r="A661" s="310" t="str">
        <f t="shared" si="474"/>
        <v/>
      </c>
      <c r="B661" s="266">
        <f>MAX($B$8:B660)+0.01</f>
        <v>16.030000000000005</v>
      </c>
      <c r="C661" s="819" t="s">
        <v>993</v>
      </c>
      <c r="D661" s="832"/>
      <c r="E661" s="713"/>
      <c r="F661" s="683"/>
      <c r="G661" s="683"/>
      <c r="H661" s="684"/>
      <c r="I661" s="684"/>
      <c r="J661" s="684"/>
      <c r="K661" s="684"/>
      <c r="L661" s="684"/>
      <c r="M661" s="685"/>
      <c r="N661" s="685"/>
      <c r="O661" s="685"/>
      <c r="P661" s="697" t="s">
        <v>1342</v>
      </c>
      <c r="U661" s="204"/>
      <c r="Y661" s="534"/>
    </row>
    <row r="662" spans="1:26">
      <c r="A662" s="310" t="str">
        <f t="shared" si="474"/>
        <v/>
      </c>
      <c r="B662" s="261"/>
      <c r="C662" s="816"/>
      <c r="D662" s="826"/>
      <c r="E662" s="709"/>
      <c r="F662" s="687"/>
      <c r="G662" s="687"/>
      <c r="H662" s="589"/>
      <c r="I662" s="589"/>
      <c r="J662" s="589"/>
      <c r="K662" s="589"/>
      <c r="L662" s="589"/>
      <c r="M662" s="688"/>
      <c r="N662" s="688"/>
      <c r="O662" s="688"/>
      <c r="P662" s="689"/>
      <c r="Q662" s="69"/>
      <c r="R662" s="69"/>
      <c r="S662" s="69"/>
      <c r="T662" s="903"/>
      <c r="U662" s="205"/>
      <c r="Y662" s="534"/>
    </row>
    <row r="663" spans="1:26">
      <c r="A663" s="310">
        <f>IF(ISNUMBER(E663),ROW(),"")</f>
        <v>663</v>
      </c>
      <c r="B663" s="262"/>
      <c r="C663" s="726" t="s">
        <v>963</v>
      </c>
      <c r="D663" s="153"/>
      <c r="E663" s="678">
        <v>82750</v>
      </c>
      <c r="F663" s="629">
        <v>10000</v>
      </c>
      <c r="G663" s="629">
        <v>500</v>
      </c>
      <c r="H663" s="630">
        <v>75</v>
      </c>
      <c r="I663" s="594">
        <f>MROUND(E663*(1-$E$677/100)/F663,0.05)</f>
        <v>7.45</v>
      </c>
      <c r="J663" s="595">
        <f>MROUND($E663*(1+$E$677/100)/2*$E$682/100/$G663,0.05)</f>
        <v>1.35</v>
      </c>
      <c r="K663" s="600">
        <f>MROUND($E663*(1+$E$677/100)/2*$E$678/100/$G663,0.05)</f>
        <v>9.5500000000000007</v>
      </c>
      <c r="L663" s="601">
        <f t="shared" ref="L663:L666" si="475">SUM(I663:K663)</f>
        <v>18.350000000000001</v>
      </c>
      <c r="M663" s="691">
        <f>MROUND($E663*$H663/100/$F663,0.05)</f>
        <v>6.2</v>
      </c>
      <c r="N663" s="650">
        <f t="shared" ref="N663:N666" si="476">MROUND(Y663*Z663,0.05)</f>
        <v>0</v>
      </c>
      <c r="O663" s="601">
        <f t="shared" ref="O663:O666" si="477">SUM(M663:N663)</f>
        <v>6.2</v>
      </c>
      <c r="P663" s="599">
        <f t="shared" ref="P663:P666" si="478">O663+L663</f>
        <v>24.55</v>
      </c>
      <c r="Q663" s="69"/>
      <c r="R663" s="69"/>
      <c r="S663" s="69"/>
      <c r="T663" s="903"/>
      <c r="U663" s="208"/>
      <c r="V663" s="69"/>
      <c r="W663" s="69"/>
      <c r="Y663" s="533"/>
      <c r="Z663" s="69"/>
    </row>
    <row r="664" spans="1:26">
      <c r="A664" s="310">
        <f t="shared" ref="A664" si="479">IF(ISNUMBER(E664),ROW(),"")</f>
        <v>664</v>
      </c>
      <c r="B664" s="262"/>
      <c r="C664" s="726" t="s">
        <v>1003</v>
      </c>
      <c r="D664" s="153"/>
      <c r="E664" s="678">
        <v>122500</v>
      </c>
      <c r="F664" s="629">
        <v>10000</v>
      </c>
      <c r="G664" s="629">
        <v>500</v>
      </c>
      <c r="H664" s="630">
        <v>75</v>
      </c>
      <c r="I664" s="594">
        <f>MROUND(E664*(1-$E$677/100)/F664,0.05)</f>
        <v>11.05</v>
      </c>
      <c r="J664" s="595">
        <f>MROUND($E664*(1+$E$677/100)/2*$E$682/100/$G664,0.05)</f>
        <v>2</v>
      </c>
      <c r="K664" s="600">
        <f>MROUND($E664*(1+$E$677/100)/2*$E$678/100/$G664,0.05)</f>
        <v>14.15</v>
      </c>
      <c r="L664" s="601">
        <f t="shared" si="475"/>
        <v>27.200000000000003</v>
      </c>
      <c r="M664" s="691">
        <f>MROUND($E664*$H664/100/$F664,0.05)</f>
        <v>9.2000000000000011</v>
      </c>
      <c r="N664" s="650">
        <f t="shared" si="476"/>
        <v>0</v>
      </c>
      <c r="O664" s="601">
        <f t="shared" si="477"/>
        <v>9.2000000000000011</v>
      </c>
      <c r="P664" s="599">
        <f t="shared" si="478"/>
        <v>36.400000000000006</v>
      </c>
      <c r="Q664" s="69"/>
      <c r="R664" s="69"/>
      <c r="S664" s="69"/>
      <c r="T664" s="903"/>
      <c r="U664" s="208"/>
      <c r="V664" s="69"/>
      <c r="W664" s="69"/>
      <c r="Y664" s="537"/>
      <c r="Z664" s="69"/>
    </row>
    <row r="665" spans="1:26">
      <c r="A665" s="310">
        <f t="shared" ref="A665" si="480">IF(ISNUMBER(E665),ROW(),"")</f>
        <v>665</v>
      </c>
      <c r="B665" s="262"/>
      <c r="C665" s="726" t="s">
        <v>1004</v>
      </c>
      <c r="D665" s="153"/>
      <c r="E665" s="678">
        <v>198250</v>
      </c>
      <c r="F665" s="629">
        <v>10000</v>
      </c>
      <c r="G665" s="629">
        <v>500</v>
      </c>
      <c r="H665" s="630">
        <v>75</v>
      </c>
      <c r="I665" s="594">
        <f>MROUND(E665*(1-$E$677/100)/F665,0.05)</f>
        <v>17.850000000000001</v>
      </c>
      <c r="J665" s="595">
        <f>MROUND($E665*(1+$E$677/100)/2*$E$682/100/$G665,0.05)</f>
        <v>3.25</v>
      </c>
      <c r="K665" s="600">
        <f>MROUND($E665*(1+$E$677/100)/2*$E$678/100/$G665,0.05)</f>
        <v>22.900000000000002</v>
      </c>
      <c r="L665" s="601">
        <f t="shared" si="475"/>
        <v>44</v>
      </c>
      <c r="M665" s="691">
        <f>MROUND($E665*$H665/100/$F665,0.05)</f>
        <v>14.850000000000001</v>
      </c>
      <c r="N665" s="650">
        <f t="shared" si="476"/>
        <v>0</v>
      </c>
      <c r="O665" s="601">
        <f t="shared" si="477"/>
        <v>14.850000000000001</v>
      </c>
      <c r="P665" s="599">
        <f t="shared" si="478"/>
        <v>58.85</v>
      </c>
      <c r="Q665" s="69"/>
      <c r="R665" s="69"/>
      <c r="S665" s="69"/>
      <c r="T665" s="903"/>
      <c r="U665" s="208"/>
      <c r="V665" s="69"/>
      <c r="W665" s="69"/>
      <c r="Y665" s="537"/>
      <c r="Z665" s="69"/>
    </row>
    <row r="666" spans="1:26">
      <c r="A666" s="310">
        <f t="shared" ref="A666" si="481">IF(ISNUMBER(E666),ROW(),"")</f>
        <v>666</v>
      </c>
      <c r="B666" s="262"/>
      <c r="C666" s="726" t="s">
        <v>964</v>
      </c>
      <c r="D666" s="153"/>
      <c r="E666" s="678">
        <v>411500</v>
      </c>
      <c r="F666" s="629">
        <v>10000</v>
      </c>
      <c r="G666" s="629">
        <v>500</v>
      </c>
      <c r="H666" s="630">
        <v>75</v>
      </c>
      <c r="I666" s="594">
        <f>MROUND(E666*(1-$E$677/100)/F666,0.05)</f>
        <v>37.050000000000004</v>
      </c>
      <c r="J666" s="595">
        <f>MROUND($E666*(1+$E$677/100)/2*$E$682/100/$G666,0.05)</f>
        <v>6.8000000000000007</v>
      </c>
      <c r="K666" s="600">
        <f>MROUND($E666*(1+$E$677/100)/2*$E$678/100/$G666,0.05)</f>
        <v>47.550000000000004</v>
      </c>
      <c r="L666" s="601">
        <f t="shared" si="475"/>
        <v>91.4</v>
      </c>
      <c r="M666" s="691">
        <f>MROUND($E666*$H666/100/$F666,0.05)</f>
        <v>30.85</v>
      </c>
      <c r="N666" s="650">
        <f t="shared" si="476"/>
        <v>0</v>
      </c>
      <c r="O666" s="601">
        <f t="shared" si="477"/>
        <v>30.85</v>
      </c>
      <c r="P666" s="599">
        <f t="shared" si="478"/>
        <v>122.25</v>
      </c>
      <c r="Q666" s="69"/>
      <c r="R666" s="69"/>
      <c r="S666" s="69"/>
      <c r="T666" s="903"/>
      <c r="U666" s="208"/>
      <c r="V666" s="69"/>
      <c r="W666" s="69"/>
      <c r="Y666" s="533"/>
      <c r="Z666" s="69"/>
    </row>
    <row r="667" spans="1:26">
      <c r="A667" s="310" t="str">
        <f t="shared" ref="A667:A668" si="482">IF(ISNUMBER(E667),ROW(),"")</f>
        <v/>
      </c>
      <c r="B667" s="261"/>
      <c r="C667" s="818"/>
      <c r="D667" s="752"/>
      <c r="E667" s="563"/>
      <c r="F667" s="636"/>
      <c r="G667" s="636"/>
      <c r="H667" s="636"/>
      <c r="I667" s="605"/>
      <c r="J667" s="605"/>
      <c r="K667" s="605"/>
      <c r="L667" s="607"/>
      <c r="M667" s="608"/>
      <c r="N667" s="608"/>
      <c r="O667" s="608"/>
      <c r="P667" s="609"/>
      <c r="U667" s="209"/>
      <c r="Y667" s="534"/>
      <c r="Z667" s="69"/>
    </row>
    <row r="668" spans="1:26">
      <c r="A668" s="310" t="str">
        <f t="shared" si="482"/>
        <v/>
      </c>
      <c r="B668" s="261"/>
      <c r="C668" s="722"/>
      <c r="D668" s="2"/>
      <c r="E668" s="557"/>
      <c r="F668" s="585"/>
      <c r="G668" s="585"/>
      <c r="H668" s="585"/>
      <c r="I668" s="585"/>
      <c r="J668" s="585"/>
      <c r="K668" s="585"/>
      <c r="L668" s="585"/>
      <c r="M668" s="175"/>
      <c r="N668" s="175"/>
      <c r="O668" s="175"/>
      <c r="P668" s="585"/>
      <c r="U668" s="201"/>
      <c r="Y668" s="534"/>
      <c r="Z668" s="69"/>
    </row>
    <row r="669" spans="1:26" ht="6" customHeight="1">
      <c r="A669" s="310"/>
      <c r="B669" s="261"/>
      <c r="C669" s="722"/>
      <c r="D669" s="2"/>
      <c r="E669" s="557"/>
      <c r="F669" s="585"/>
      <c r="G669" s="585"/>
      <c r="H669" s="585"/>
      <c r="I669" s="585"/>
      <c r="J669" s="585"/>
      <c r="K669" s="585"/>
      <c r="L669" s="585"/>
      <c r="M669" s="175"/>
      <c r="N669" s="175"/>
      <c r="O669" s="175"/>
      <c r="P669" s="585"/>
      <c r="U669" s="201"/>
      <c r="Y669" s="772"/>
      <c r="Z669" s="69"/>
    </row>
    <row r="670" spans="1:26" s="452" customFormat="1" ht="23.25" customHeight="1" thickBot="1">
      <c r="A670" s="31"/>
      <c r="B670" s="260"/>
      <c r="C670" s="303" t="s">
        <v>40</v>
      </c>
      <c r="D670" s="301"/>
      <c r="E670" s="290"/>
      <c r="F670" s="291"/>
      <c r="G670" s="291"/>
      <c r="H670" s="291"/>
      <c r="I670" s="289"/>
      <c r="J670" s="289"/>
      <c r="K670" s="289"/>
      <c r="L670" s="289"/>
      <c r="M670" s="292"/>
      <c r="N670" s="292"/>
      <c r="O670" s="292"/>
      <c r="P670" s="304"/>
      <c r="Q670" s="158"/>
      <c r="R670" s="158"/>
      <c r="S670" s="158"/>
      <c r="T670" s="902"/>
      <c r="U670" s="305"/>
      <c r="V670" s="158"/>
      <c r="W670" s="158"/>
      <c r="X670" s="159"/>
      <c r="Y670" s="160"/>
      <c r="Z670" s="161"/>
    </row>
    <row r="671" spans="1:26">
      <c r="C671" s="62"/>
      <c r="D671" s="2"/>
      <c r="E671" s="2"/>
      <c r="F671" s="2"/>
      <c r="G671" s="2"/>
      <c r="H671" s="2"/>
      <c r="I671" s="2"/>
      <c r="J671" s="2"/>
      <c r="K671" s="2"/>
      <c r="L671" s="2"/>
      <c r="M671" s="153"/>
      <c r="N671" s="153"/>
      <c r="O671" s="153"/>
      <c r="P671" s="2"/>
      <c r="Q671" s="2"/>
      <c r="R671" s="2"/>
      <c r="S671" s="2"/>
      <c r="T671" s="907"/>
      <c r="W671" s="2"/>
      <c r="Y671" s="189"/>
    </row>
    <row r="672" spans="1:26">
      <c r="A672" s="5"/>
      <c r="C672" s="14" t="s">
        <v>1210</v>
      </c>
      <c r="D672" s="2"/>
      <c r="E672" s="2"/>
      <c r="F672" s="2"/>
      <c r="G672" s="2"/>
      <c r="H672" s="2"/>
      <c r="I672" s="2"/>
      <c r="J672" s="2"/>
      <c r="K672" s="2"/>
      <c r="L672" s="2"/>
      <c r="M672" s="153"/>
      <c r="N672" s="153"/>
      <c r="O672" s="153"/>
      <c r="P672" s="2"/>
      <c r="Y672" s="189"/>
    </row>
    <row r="673" spans="1:26">
      <c r="A673" s="5"/>
      <c r="C673" s="14"/>
      <c r="D673" s="2"/>
      <c r="E673" s="2"/>
      <c r="F673" s="2"/>
      <c r="G673" s="2"/>
      <c r="H673" s="2"/>
      <c r="I673" s="2"/>
      <c r="J673" s="2"/>
      <c r="K673" s="2"/>
      <c r="L673" s="2"/>
      <c r="M673" s="153"/>
      <c r="N673" s="153"/>
      <c r="O673" s="153"/>
      <c r="P673" s="2"/>
      <c r="Y673" s="189"/>
    </row>
    <row r="674" spans="1:26">
      <c r="A674" s="5"/>
      <c r="C674" s="3">
        <v>1</v>
      </c>
      <c r="D674" s="2" t="s">
        <v>67</v>
      </c>
      <c r="E674" s="2"/>
      <c r="F674" s="2"/>
      <c r="G674" s="2"/>
      <c r="H674" s="2"/>
      <c r="I674" s="2"/>
      <c r="J674" s="2"/>
      <c r="K674" s="2"/>
      <c r="L674" s="2"/>
      <c r="M674" s="153"/>
      <c r="N674" s="153"/>
      <c r="O674" s="153"/>
      <c r="P674" s="2"/>
      <c r="Y674" s="189"/>
    </row>
    <row r="675" spans="1:26">
      <c r="A675" s="5"/>
      <c r="C675" s="3">
        <f>MAX($C$674:C674)+1</f>
        <v>2</v>
      </c>
      <c r="D675" s="2" t="s">
        <v>59</v>
      </c>
      <c r="E675" s="2"/>
      <c r="F675" s="2"/>
      <c r="G675" s="2"/>
      <c r="H675" s="2"/>
      <c r="I675" s="2"/>
      <c r="J675" s="2"/>
      <c r="K675" s="2"/>
      <c r="L675" s="2"/>
      <c r="M675" s="153"/>
      <c r="N675" s="153"/>
      <c r="O675" s="153"/>
      <c r="P675" s="2"/>
      <c r="Y675" s="189"/>
    </row>
    <row r="676" spans="1:26">
      <c r="A676" s="5"/>
      <c r="C676" s="3">
        <f>MAX($C$674:C675)+1</f>
        <v>3</v>
      </c>
      <c r="D676" s="2" t="s">
        <v>524</v>
      </c>
      <c r="E676" s="2"/>
      <c r="F676" s="2"/>
      <c r="G676" s="2"/>
      <c r="H676" s="2"/>
      <c r="I676" s="2"/>
      <c r="J676" s="2"/>
      <c r="K676" s="2"/>
      <c r="L676" s="2"/>
      <c r="M676" s="153"/>
      <c r="N676" s="153"/>
      <c r="O676" s="153"/>
      <c r="P676" s="2"/>
      <c r="U676" s="202"/>
      <c r="X676" s="5"/>
      <c r="Y676" s="5"/>
      <c r="Z676" s="5"/>
    </row>
    <row r="677" spans="1:26">
      <c r="A677" s="5"/>
      <c r="C677" s="3">
        <f>MAX($C$674:C676)+1</f>
        <v>4</v>
      </c>
      <c r="D677" s="2" t="s">
        <v>58</v>
      </c>
      <c r="E677" s="9">
        <f>Skroot.Perc</f>
        <v>10</v>
      </c>
      <c r="F677" s="2" t="s">
        <v>97</v>
      </c>
      <c r="H677" s="2"/>
      <c r="I677" s="2"/>
      <c r="J677" s="2"/>
      <c r="L677" s="2"/>
      <c r="M677" s="153"/>
      <c r="N677" s="153"/>
      <c r="O677" s="153"/>
      <c r="P677" s="2"/>
      <c r="U677" s="202"/>
      <c r="X677" s="5"/>
      <c r="Y677" s="5"/>
      <c r="Z677" s="5"/>
    </row>
    <row r="678" spans="1:26">
      <c r="A678" s="5"/>
      <c r="C678" s="3">
        <f>MAX($C$674:C677)+1</f>
        <v>5</v>
      </c>
      <c r="D678" s="2" t="s">
        <v>525</v>
      </c>
      <c r="E678" s="9">
        <f>Rente.Perc</f>
        <v>10.5</v>
      </c>
      <c r="F678" s="2" t="s">
        <v>98</v>
      </c>
      <c r="H678" s="2"/>
      <c r="I678" s="2"/>
      <c r="J678" s="2"/>
      <c r="L678" s="2"/>
      <c r="M678" s="153"/>
      <c r="N678" s="153"/>
      <c r="O678" s="153"/>
      <c r="P678" s="2"/>
      <c r="U678" s="202"/>
      <c r="X678" s="5"/>
      <c r="Y678" s="5"/>
      <c r="Z678" s="5"/>
    </row>
    <row r="679" spans="1:26">
      <c r="A679" s="5"/>
      <c r="C679" s="62"/>
      <c r="D679" s="2"/>
      <c r="E679" s="2"/>
      <c r="F679" s="9"/>
      <c r="G679" s="2"/>
      <c r="H679" s="2"/>
      <c r="I679" s="2"/>
      <c r="J679" s="2"/>
      <c r="L679" s="2"/>
      <c r="M679" s="153"/>
      <c r="N679" s="153"/>
      <c r="O679" s="153"/>
      <c r="P679" s="2"/>
      <c r="U679" s="202"/>
      <c r="X679" s="5"/>
      <c r="Y679" s="5"/>
      <c r="Z679" s="5"/>
    </row>
    <row r="680" spans="1:26">
      <c r="A680" s="5"/>
      <c r="C680" s="14" t="s">
        <v>554</v>
      </c>
      <c r="D680" s="2"/>
      <c r="E680" s="2"/>
      <c r="F680" s="9"/>
      <c r="G680" s="2"/>
      <c r="H680" s="2"/>
      <c r="I680" s="2"/>
      <c r="J680" s="2"/>
      <c r="L680" s="2"/>
      <c r="M680" s="153"/>
      <c r="N680" s="153"/>
      <c r="O680" s="153"/>
      <c r="P680" s="2"/>
      <c r="U680" s="202"/>
      <c r="X680" s="5"/>
      <c r="Y680" s="5"/>
      <c r="Z680" s="5"/>
    </row>
    <row r="681" spans="1:26">
      <c r="A681" s="5"/>
      <c r="C681" s="14"/>
      <c r="D681" s="2"/>
      <c r="E681" s="2"/>
      <c r="F681" s="9"/>
      <c r="G681" s="2"/>
      <c r="H681" s="2"/>
      <c r="I681" s="2"/>
      <c r="J681" s="2"/>
      <c r="L681" s="2"/>
      <c r="M681" s="153"/>
      <c r="N681" s="153"/>
      <c r="O681" s="153"/>
      <c r="P681" s="2"/>
      <c r="U681" s="202"/>
      <c r="X681" s="5"/>
      <c r="Y681" s="5"/>
      <c r="Z681" s="5"/>
    </row>
    <row r="682" spans="1:26">
      <c r="A682" s="5"/>
      <c r="C682" s="3">
        <f>MAX($C$674:C681)+1</f>
        <v>6</v>
      </c>
      <c r="D682" s="2" t="s">
        <v>526</v>
      </c>
      <c r="E682" s="9">
        <f>Aannames!F171</f>
        <v>1.5</v>
      </c>
      <c r="F682" s="2" t="s">
        <v>98</v>
      </c>
      <c r="I682" s="2"/>
      <c r="J682" s="2"/>
      <c r="L682" s="2"/>
      <c r="M682" s="153"/>
      <c r="N682" s="153"/>
      <c r="O682" s="153"/>
      <c r="P682" s="2"/>
      <c r="U682" s="202"/>
      <c r="X682" s="5"/>
      <c r="Y682" s="5"/>
      <c r="Z682" s="5"/>
    </row>
    <row r="683" spans="1:26">
      <c r="A683" s="5"/>
      <c r="C683" s="3">
        <f>MAX($C$674:C682)+1</f>
        <v>7</v>
      </c>
      <c r="D683" s="2" t="s">
        <v>527</v>
      </c>
      <c r="E683" s="40" t="s">
        <v>116</v>
      </c>
      <c r="F683" s="2" t="s">
        <v>99</v>
      </c>
      <c r="H683" s="2"/>
      <c r="I683" s="2"/>
      <c r="J683" s="2"/>
      <c r="L683" s="2"/>
      <c r="M683" s="153"/>
      <c r="N683" s="153"/>
      <c r="O683" s="153"/>
      <c r="P683" s="2"/>
      <c r="U683" s="202"/>
    </row>
    <row r="684" spans="1:26">
      <c r="A684" s="5"/>
      <c r="C684" s="3">
        <f>MAX($C$674:C683)+1</f>
        <v>8</v>
      </c>
      <c r="D684" s="2" t="s">
        <v>79</v>
      </c>
      <c r="E684" s="2"/>
      <c r="F684" s="39"/>
      <c r="G684" s="2"/>
      <c r="H684" s="2"/>
      <c r="I684" s="2"/>
      <c r="J684" s="2"/>
      <c r="L684" s="2"/>
      <c r="M684" s="153"/>
      <c r="N684" s="153"/>
      <c r="O684" s="153"/>
      <c r="P684" s="2"/>
      <c r="U684" s="202"/>
    </row>
    <row r="685" spans="1:26">
      <c r="A685" s="5"/>
      <c r="C685" s="3">
        <f>MAX($C$674:C684)+1</f>
        <v>9</v>
      </c>
      <c r="D685" s="2" t="s">
        <v>74</v>
      </c>
      <c r="E685" s="2"/>
      <c r="F685" s="2"/>
      <c r="G685" s="2"/>
      <c r="H685" s="2"/>
      <c r="I685" s="2"/>
      <c r="J685" s="2"/>
      <c r="K685" s="2"/>
      <c r="L685" s="2"/>
      <c r="M685" s="153"/>
      <c r="N685" s="153"/>
      <c r="O685" s="153"/>
      <c r="P685" s="2"/>
      <c r="U685" s="202"/>
    </row>
    <row r="686" spans="1:26">
      <c r="A686" s="5"/>
      <c r="B686" s="5"/>
      <c r="C686" s="873"/>
      <c r="D686" s="2"/>
      <c r="U686" s="5"/>
      <c r="X686" s="5"/>
      <c r="Y686" s="5"/>
      <c r="Z686" s="5"/>
    </row>
    <row r="687" spans="1:26">
      <c r="A687" s="5"/>
      <c r="B687" s="5"/>
      <c r="C687" s="5"/>
      <c r="U687" s="5"/>
      <c r="X687" s="5"/>
      <c r="Y687" s="5"/>
      <c r="Z687" s="5"/>
    </row>
    <row r="688" spans="1:26">
      <c r="A688" s="5"/>
      <c r="B688" s="5"/>
      <c r="C688" s="5"/>
      <c r="U688" s="5"/>
      <c r="X688" s="5"/>
      <c r="Y688" s="5"/>
      <c r="Z688" s="5"/>
    </row>
    <row r="689" spans="1:26">
      <c r="A689" s="5"/>
      <c r="B689" s="5"/>
      <c r="C689" s="5"/>
      <c r="U689" s="5"/>
      <c r="X689" s="5"/>
      <c r="Y689" s="5"/>
      <c r="Z689" s="5"/>
    </row>
    <row r="690" spans="1:26">
      <c r="A690" s="5"/>
      <c r="B690" s="5"/>
      <c r="C690" s="5"/>
      <c r="U690" s="5"/>
      <c r="X690" s="5"/>
      <c r="Y690" s="5"/>
      <c r="Z690" s="5"/>
    </row>
    <row r="691" spans="1:26">
      <c r="A691" s="5"/>
      <c r="B691" s="5"/>
      <c r="C691" s="5"/>
      <c r="U691" s="5"/>
      <c r="X691" s="5"/>
      <c r="Y691" s="5"/>
      <c r="Z691" s="5"/>
    </row>
    <row r="692" spans="1:26">
      <c r="A692" s="5"/>
      <c r="B692" s="5"/>
      <c r="C692" s="5"/>
      <c r="U692" s="5"/>
      <c r="X692" s="5"/>
      <c r="Y692" s="5"/>
      <c r="Z692" s="5"/>
    </row>
    <row r="693" spans="1:26">
      <c r="A693" s="5"/>
      <c r="B693" s="5"/>
      <c r="C693" s="5"/>
      <c r="U693" s="5"/>
      <c r="X693" s="5"/>
      <c r="Y693" s="5"/>
      <c r="Z693" s="5"/>
    </row>
    <row r="694" spans="1:26">
      <c r="A694" s="5"/>
      <c r="B694" s="5"/>
      <c r="C694" s="5"/>
      <c r="U694" s="5"/>
      <c r="X694" s="5"/>
      <c r="Y694" s="5"/>
      <c r="Z694" s="5"/>
    </row>
    <row r="695" spans="1:26">
      <c r="A695" s="5"/>
      <c r="B695" s="5"/>
      <c r="C695" s="5"/>
      <c r="U695" s="5"/>
      <c r="X695" s="5"/>
      <c r="Y695" s="5"/>
      <c r="Z695" s="5"/>
    </row>
    <row r="696" spans="1:26">
      <c r="A696" s="5"/>
      <c r="B696" s="5"/>
      <c r="C696" s="5"/>
      <c r="U696" s="5"/>
      <c r="X696" s="5"/>
      <c r="Y696" s="5"/>
      <c r="Z696" s="5"/>
    </row>
    <row r="697" spans="1:26">
      <c r="A697" s="5"/>
      <c r="B697" s="5"/>
      <c r="C697" s="5"/>
      <c r="U697" s="5"/>
      <c r="X697" s="5"/>
      <c r="Y697" s="5"/>
      <c r="Z697" s="5"/>
    </row>
    <row r="698" spans="1:26">
      <c r="A698" s="5"/>
      <c r="B698" s="5"/>
      <c r="C698" s="5"/>
      <c r="U698" s="5"/>
      <c r="X698" s="5"/>
      <c r="Y698" s="5"/>
      <c r="Z698" s="5"/>
    </row>
    <row r="699" spans="1:26">
      <c r="A699" s="5"/>
      <c r="B699" s="5"/>
      <c r="C699" s="5"/>
      <c r="U699" s="5"/>
      <c r="X699" s="5"/>
      <c r="Y699" s="5"/>
      <c r="Z699" s="5"/>
    </row>
    <row r="700" spans="1:26">
      <c r="A700" s="5"/>
      <c r="B700" s="5"/>
      <c r="C700" s="5"/>
      <c r="U700" s="5"/>
      <c r="X700" s="5"/>
      <c r="Y700" s="5"/>
      <c r="Z700" s="5"/>
    </row>
    <row r="701" spans="1:26">
      <c r="A701" s="5"/>
      <c r="B701" s="5"/>
      <c r="C701" s="5"/>
      <c r="U701" s="5"/>
      <c r="X701" s="5"/>
      <c r="Y701" s="5"/>
      <c r="Z701" s="5"/>
    </row>
    <row r="702" spans="1:26">
      <c r="A702" s="5"/>
      <c r="B702" s="5"/>
      <c r="C702" s="5"/>
      <c r="U702" s="5"/>
      <c r="X702" s="5"/>
      <c r="Y702" s="5"/>
      <c r="Z702" s="5"/>
    </row>
    <row r="703" spans="1:26">
      <c r="A703" s="5"/>
      <c r="B703" s="5"/>
      <c r="C703" s="5"/>
      <c r="U703" s="5"/>
      <c r="X703" s="5"/>
      <c r="Y703" s="5"/>
      <c r="Z703" s="5"/>
    </row>
    <row r="704" spans="1:26">
      <c r="A704" s="5"/>
      <c r="B704" s="5"/>
      <c r="C704" s="5"/>
      <c r="U704" s="5"/>
      <c r="X704" s="5"/>
      <c r="Y704" s="5"/>
      <c r="Z704" s="5"/>
    </row>
    <row r="705" spans="1:26">
      <c r="A705" s="5"/>
      <c r="B705" s="5"/>
      <c r="C705" s="5"/>
      <c r="U705" s="5"/>
      <c r="X705" s="5"/>
      <c r="Y705" s="5"/>
      <c r="Z705" s="5"/>
    </row>
    <row r="706" spans="1:26">
      <c r="A706" s="5"/>
      <c r="B706" s="5"/>
      <c r="C706" s="5"/>
      <c r="U706" s="5"/>
      <c r="X706" s="5"/>
      <c r="Y706" s="5"/>
      <c r="Z706" s="5"/>
    </row>
    <row r="707" spans="1:26">
      <c r="A707" s="5"/>
      <c r="B707" s="5"/>
      <c r="C707" s="5"/>
      <c r="U707" s="5"/>
      <c r="X707" s="5"/>
      <c r="Y707" s="5"/>
      <c r="Z707" s="5"/>
    </row>
    <row r="708" spans="1:26">
      <c r="A708" s="5"/>
      <c r="B708" s="5"/>
      <c r="C708" s="5"/>
      <c r="U708" s="5"/>
      <c r="X708" s="5"/>
      <c r="Y708" s="5"/>
      <c r="Z708" s="5"/>
    </row>
    <row r="709" spans="1:26">
      <c r="A709" s="5"/>
      <c r="B709" s="5"/>
      <c r="C709" s="5"/>
      <c r="U709" s="5"/>
      <c r="X709" s="5"/>
      <c r="Y709" s="5"/>
      <c r="Z709" s="5"/>
    </row>
    <row r="710" spans="1:26">
      <c r="A710" s="5"/>
      <c r="B710" s="5"/>
      <c r="C710" s="5"/>
      <c r="U710" s="5"/>
      <c r="X710" s="5"/>
      <c r="Y710" s="5"/>
      <c r="Z710" s="5"/>
    </row>
    <row r="711" spans="1:26">
      <c r="A711" s="5"/>
      <c r="B711" s="5"/>
      <c r="C711" s="5"/>
      <c r="U711" s="5"/>
      <c r="X711" s="5"/>
      <c r="Y711" s="5"/>
      <c r="Z711" s="5"/>
    </row>
    <row r="712" spans="1:26">
      <c r="A712" s="5"/>
      <c r="B712" s="5"/>
      <c r="C712" s="5"/>
      <c r="U712" s="5"/>
      <c r="X712" s="5"/>
      <c r="Y712" s="5"/>
      <c r="Z712" s="5"/>
    </row>
    <row r="713" spans="1:26">
      <c r="A713" s="5"/>
      <c r="B713" s="5"/>
      <c r="C713" s="5"/>
      <c r="U713" s="5"/>
      <c r="X713" s="5"/>
      <c r="Y713" s="5"/>
      <c r="Z713" s="5"/>
    </row>
    <row r="714" spans="1:26">
      <c r="A714" s="5"/>
      <c r="B714" s="5"/>
      <c r="C714" s="5"/>
      <c r="U714" s="5"/>
      <c r="X714" s="5"/>
      <c r="Y714" s="5"/>
      <c r="Z714" s="5"/>
    </row>
    <row r="715" spans="1:26">
      <c r="A715" s="5"/>
      <c r="B715" s="5"/>
      <c r="C715" s="5"/>
      <c r="U715" s="5"/>
      <c r="X715" s="5"/>
      <c r="Y715" s="5"/>
      <c r="Z715" s="5"/>
    </row>
    <row r="716" spans="1:26">
      <c r="A716" s="5"/>
      <c r="B716" s="5"/>
      <c r="C716" s="5"/>
      <c r="U716" s="5"/>
      <c r="X716" s="5"/>
      <c r="Y716" s="5"/>
      <c r="Z716" s="5"/>
    </row>
    <row r="717" spans="1:26">
      <c r="A717" s="5"/>
      <c r="B717" s="5"/>
      <c r="C717" s="5"/>
      <c r="U717" s="5"/>
      <c r="X717" s="5"/>
      <c r="Y717" s="5"/>
      <c r="Z717" s="5"/>
    </row>
    <row r="718" spans="1:26">
      <c r="A718" s="5"/>
      <c r="B718" s="5"/>
      <c r="C718" s="5"/>
      <c r="U718" s="5"/>
      <c r="X718" s="5"/>
      <c r="Y718" s="5"/>
      <c r="Z718" s="5"/>
    </row>
    <row r="719" spans="1:26">
      <c r="A719" s="5"/>
      <c r="B719" s="5"/>
      <c r="C719" s="5"/>
      <c r="U719" s="5"/>
      <c r="X719" s="5"/>
      <c r="Y719" s="5"/>
      <c r="Z719" s="5"/>
    </row>
    <row r="720" spans="1:26">
      <c r="A720" s="5"/>
      <c r="B720" s="5"/>
      <c r="C720" s="5"/>
      <c r="U720" s="5"/>
      <c r="X720" s="5"/>
      <c r="Y720" s="5"/>
      <c r="Z720" s="5"/>
    </row>
    <row r="721" spans="1:26">
      <c r="A721" s="5"/>
      <c r="B721" s="5"/>
      <c r="C721" s="5"/>
      <c r="U721" s="5"/>
      <c r="X721" s="5"/>
      <c r="Y721" s="5"/>
      <c r="Z721" s="5"/>
    </row>
    <row r="722" spans="1:26">
      <c r="A722" s="5"/>
      <c r="B722" s="5"/>
      <c r="C722" s="5"/>
      <c r="U722" s="5"/>
      <c r="X722" s="5"/>
      <c r="Y722" s="5"/>
      <c r="Z722" s="5"/>
    </row>
    <row r="723" spans="1:26">
      <c r="A723" s="5"/>
      <c r="B723" s="5"/>
      <c r="C723" s="5"/>
      <c r="U723" s="5"/>
      <c r="X723" s="5"/>
      <c r="Y723" s="5"/>
      <c r="Z723" s="5"/>
    </row>
    <row r="724" spans="1:26">
      <c r="A724" s="5"/>
      <c r="B724" s="5"/>
      <c r="C724" s="5"/>
      <c r="U724" s="5"/>
      <c r="X724" s="5"/>
      <c r="Y724" s="5"/>
      <c r="Z724" s="5"/>
    </row>
    <row r="725" spans="1:26">
      <c r="A725" s="5"/>
      <c r="B725" s="5"/>
      <c r="C725" s="5"/>
      <c r="U725" s="5"/>
      <c r="X725" s="5"/>
      <c r="Y725" s="5"/>
      <c r="Z725" s="5"/>
    </row>
    <row r="726" spans="1:26">
      <c r="A726" s="5"/>
      <c r="B726" s="5"/>
      <c r="C726" s="5"/>
      <c r="U726" s="5"/>
      <c r="X726" s="5"/>
      <c r="Y726" s="5"/>
      <c r="Z726" s="5"/>
    </row>
    <row r="727" spans="1:26">
      <c r="A727" s="5"/>
      <c r="B727" s="5"/>
      <c r="C727" s="5"/>
      <c r="U727" s="5"/>
      <c r="X727" s="5"/>
      <c r="Y727" s="5"/>
      <c r="Z727" s="5"/>
    </row>
    <row r="728" spans="1:26">
      <c r="A728" s="5"/>
      <c r="B728" s="5"/>
      <c r="C728" s="5"/>
      <c r="U728" s="5"/>
      <c r="X728" s="5"/>
      <c r="Y728" s="5"/>
      <c r="Z728" s="5"/>
    </row>
    <row r="729" spans="1:26">
      <c r="A729" s="5"/>
      <c r="B729" s="5"/>
      <c r="C729" s="5"/>
      <c r="U729" s="5"/>
      <c r="X729" s="5"/>
      <c r="Y729" s="5"/>
      <c r="Z729" s="5"/>
    </row>
    <row r="730" spans="1:26">
      <c r="A730" s="5"/>
      <c r="B730" s="5"/>
      <c r="C730" s="5"/>
      <c r="U730" s="5"/>
      <c r="X730" s="5"/>
      <c r="Y730" s="5"/>
      <c r="Z730" s="5"/>
    </row>
    <row r="731" spans="1:26">
      <c r="A731" s="5"/>
      <c r="B731" s="5"/>
      <c r="C731" s="5"/>
      <c r="U731" s="5"/>
      <c r="X731" s="5"/>
      <c r="Y731" s="5"/>
      <c r="Z731" s="5"/>
    </row>
    <row r="732" spans="1:26">
      <c r="A732" s="5"/>
      <c r="B732" s="5"/>
      <c r="C732" s="5"/>
      <c r="U732" s="5"/>
      <c r="X732" s="5"/>
      <c r="Y732" s="5"/>
      <c r="Z732" s="5"/>
    </row>
    <row r="733" spans="1:26">
      <c r="A733" s="5"/>
      <c r="B733" s="5"/>
      <c r="C733" s="5"/>
      <c r="U733" s="5"/>
      <c r="X733" s="5"/>
      <c r="Y733" s="5"/>
      <c r="Z733" s="5"/>
    </row>
    <row r="734" spans="1:26">
      <c r="A734" s="5"/>
      <c r="B734" s="5"/>
      <c r="C734" s="5"/>
      <c r="U734" s="5"/>
      <c r="X734" s="5"/>
      <c r="Y734" s="5"/>
      <c r="Z734" s="5"/>
    </row>
    <row r="735" spans="1:26">
      <c r="A735" s="5"/>
      <c r="B735" s="5"/>
      <c r="C735" s="5"/>
      <c r="U735" s="5"/>
      <c r="X735" s="5"/>
      <c r="Y735" s="5"/>
      <c r="Z735" s="5"/>
    </row>
    <row r="736" spans="1:26">
      <c r="A736" s="5"/>
      <c r="B736" s="5"/>
      <c r="C736" s="5"/>
      <c r="U736" s="5"/>
      <c r="X736" s="5"/>
      <c r="Y736" s="5"/>
      <c r="Z736" s="5"/>
    </row>
    <row r="737" spans="1:26">
      <c r="A737" s="5"/>
      <c r="B737" s="5"/>
      <c r="C737" s="5"/>
      <c r="U737" s="5"/>
      <c r="X737" s="5"/>
      <c r="Y737" s="5"/>
      <c r="Z737" s="5"/>
    </row>
    <row r="738" spans="1:26">
      <c r="A738" s="5"/>
      <c r="B738" s="5"/>
      <c r="C738" s="5"/>
      <c r="U738" s="5"/>
      <c r="X738" s="5"/>
      <c r="Y738" s="5"/>
      <c r="Z738" s="5"/>
    </row>
    <row r="739" spans="1:26">
      <c r="A739" s="5"/>
      <c r="B739" s="5"/>
      <c r="C739" s="5"/>
      <c r="U739" s="5"/>
      <c r="X739" s="5"/>
      <c r="Y739" s="5"/>
      <c r="Z739" s="5"/>
    </row>
    <row r="740" spans="1:26">
      <c r="A740" s="5"/>
      <c r="B740" s="5"/>
      <c r="C740" s="5"/>
      <c r="U740" s="5"/>
      <c r="X740" s="5"/>
      <c r="Y740" s="5"/>
      <c r="Z740" s="5"/>
    </row>
    <row r="741" spans="1:26">
      <c r="A741" s="5"/>
      <c r="B741" s="5"/>
      <c r="C741" s="5"/>
      <c r="U741" s="5"/>
      <c r="X741" s="5"/>
      <c r="Y741" s="5"/>
      <c r="Z741" s="5"/>
    </row>
    <row r="742" spans="1:26">
      <c r="A742" s="5"/>
      <c r="B742" s="5"/>
      <c r="C742" s="5"/>
      <c r="U742" s="5"/>
      <c r="X742" s="5"/>
      <c r="Y742" s="5"/>
      <c r="Z742" s="5"/>
    </row>
    <row r="743" spans="1:26">
      <c r="A743" s="5"/>
      <c r="B743" s="5"/>
      <c r="C743" s="5"/>
      <c r="U743" s="5"/>
      <c r="X743" s="5"/>
      <c r="Y743" s="5"/>
      <c r="Z743" s="5"/>
    </row>
    <row r="744" spans="1:26">
      <c r="A744" s="5"/>
      <c r="B744" s="5"/>
      <c r="C744" s="5"/>
      <c r="U744" s="5"/>
      <c r="X744" s="5"/>
      <c r="Y744" s="5"/>
      <c r="Z744" s="5"/>
    </row>
    <row r="745" spans="1:26">
      <c r="A745" s="5"/>
      <c r="B745" s="5"/>
      <c r="C745" s="5"/>
      <c r="U745" s="5"/>
      <c r="X745" s="5"/>
      <c r="Y745" s="5"/>
      <c r="Z745" s="5"/>
    </row>
    <row r="746" spans="1:26">
      <c r="A746" s="5"/>
      <c r="B746" s="5"/>
      <c r="C746" s="5"/>
      <c r="U746" s="5"/>
      <c r="X746" s="5"/>
      <c r="Y746" s="5"/>
      <c r="Z746" s="5"/>
    </row>
    <row r="747" spans="1:26">
      <c r="A747" s="5"/>
      <c r="B747" s="5"/>
      <c r="C747" s="5"/>
      <c r="U747" s="5"/>
      <c r="X747" s="5"/>
      <c r="Y747" s="5"/>
      <c r="Z747" s="5"/>
    </row>
    <row r="748" spans="1:26">
      <c r="A748" s="5"/>
      <c r="B748" s="5"/>
      <c r="C748" s="5"/>
      <c r="U748" s="5"/>
      <c r="X748" s="5"/>
      <c r="Y748" s="5"/>
      <c r="Z748" s="5"/>
    </row>
    <row r="749" spans="1:26">
      <c r="A749" s="5"/>
      <c r="B749" s="5"/>
      <c r="C749" s="5"/>
      <c r="U749" s="5"/>
      <c r="X749" s="5"/>
      <c r="Y749" s="5"/>
      <c r="Z749" s="5"/>
    </row>
    <row r="750" spans="1:26">
      <c r="A750" s="5"/>
      <c r="B750" s="5"/>
      <c r="C750" s="5"/>
      <c r="U750" s="5"/>
      <c r="X750" s="5"/>
      <c r="Y750" s="5"/>
      <c r="Z750" s="5"/>
    </row>
    <row r="751" spans="1:26">
      <c r="A751" s="5"/>
      <c r="B751" s="5"/>
      <c r="C751" s="5"/>
      <c r="U751" s="5"/>
      <c r="X751" s="5"/>
      <c r="Y751" s="5"/>
      <c r="Z751" s="5"/>
    </row>
    <row r="752" spans="1:26">
      <c r="A752" s="5"/>
      <c r="B752" s="5"/>
      <c r="C752" s="5"/>
      <c r="U752" s="5"/>
      <c r="X752" s="5"/>
      <c r="Y752" s="5"/>
      <c r="Z752" s="5"/>
    </row>
    <row r="753" spans="1:26">
      <c r="A753" s="5"/>
      <c r="B753" s="5"/>
      <c r="C753" s="5"/>
      <c r="U753" s="5"/>
      <c r="X753" s="5"/>
      <c r="Y753" s="5"/>
      <c r="Z753" s="5"/>
    </row>
    <row r="754" spans="1:26">
      <c r="A754" s="5"/>
      <c r="B754" s="5"/>
      <c r="C754" s="5"/>
      <c r="U754" s="5"/>
      <c r="X754" s="5"/>
      <c r="Y754" s="5"/>
      <c r="Z754" s="5"/>
    </row>
    <row r="755" spans="1:26">
      <c r="A755" s="5"/>
      <c r="B755" s="5"/>
      <c r="C755" s="5"/>
      <c r="U755" s="5"/>
      <c r="X755" s="5"/>
      <c r="Y755" s="5"/>
      <c r="Z755" s="5"/>
    </row>
    <row r="756" spans="1:26">
      <c r="A756" s="5"/>
      <c r="B756" s="5"/>
      <c r="C756" s="5"/>
      <c r="U756" s="5"/>
      <c r="X756" s="5"/>
      <c r="Y756" s="5"/>
      <c r="Z756" s="5"/>
    </row>
    <row r="757" spans="1:26">
      <c r="A757" s="5"/>
      <c r="B757" s="5"/>
      <c r="C757" s="5"/>
      <c r="U757" s="5"/>
      <c r="X757" s="5"/>
      <c r="Y757" s="5"/>
      <c r="Z757" s="5"/>
    </row>
    <row r="758" spans="1:26">
      <c r="A758" s="5"/>
      <c r="B758" s="5"/>
      <c r="C758" s="5"/>
      <c r="U758" s="5"/>
      <c r="X758" s="5"/>
      <c r="Y758" s="5"/>
      <c r="Z758" s="5"/>
    </row>
    <row r="759" spans="1:26">
      <c r="A759" s="5"/>
      <c r="B759" s="5"/>
      <c r="C759" s="5"/>
      <c r="U759" s="5"/>
      <c r="X759" s="5"/>
      <c r="Y759" s="5"/>
      <c r="Z759" s="5"/>
    </row>
    <row r="760" spans="1:26">
      <c r="A760" s="5"/>
      <c r="B760" s="5"/>
      <c r="C760" s="5"/>
      <c r="U760" s="5"/>
      <c r="X760" s="5"/>
      <c r="Y760" s="5"/>
      <c r="Z760" s="5"/>
    </row>
    <row r="761" spans="1:26">
      <c r="A761" s="5"/>
      <c r="B761" s="5"/>
      <c r="C761" s="5"/>
      <c r="U761" s="5"/>
      <c r="X761" s="5"/>
      <c r="Y761" s="5"/>
      <c r="Z761" s="5"/>
    </row>
    <row r="762" spans="1:26">
      <c r="A762" s="5"/>
      <c r="B762" s="5"/>
      <c r="C762" s="5"/>
      <c r="U762" s="5"/>
      <c r="X762" s="5"/>
      <c r="Y762" s="5"/>
      <c r="Z762" s="5"/>
    </row>
    <row r="763" spans="1:26">
      <c r="A763" s="5"/>
      <c r="B763" s="5"/>
      <c r="C763" s="5"/>
      <c r="U763" s="5"/>
      <c r="X763" s="5"/>
      <c r="Y763" s="5"/>
      <c r="Z763" s="5"/>
    </row>
    <row r="764" spans="1:26">
      <c r="A764" s="5"/>
      <c r="B764" s="5"/>
      <c r="C764" s="5"/>
      <c r="U764" s="5"/>
      <c r="X764" s="5"/>
      <c r="Y764" s="5"/>
      <c r="Z764" s="5"/>
    </row>
    <row r="765" spans="1:26">
      <c r="A765" s="5"/>
      <c r="B765" s="5"/>
      <c r="C765" s="5"/>
      <c r="U765" s="5"/>
      <c r="X765" s="5"/>
      <c r="Y765" s="5"/>
      <c r="Z765" s="5"/>
    </row>
    <row r="766" spans="1:26">
      <c r="A766" s="5"/>
      <c r="B766" s="5"/>
      <c r="C766" s="5"/>
      <c r="U766" s="5"/>
      <c r="X766" s="5"/>
      <c r="Y766" s="5"/>
      <c r="Z766" s="5"/>
    </row>
    <row r="767" spans="1:26">
      <c r="A767" s="5"/>
      <c r="B767" s="5"/>
      <c r="C767" s="5"/>
      <c r="U767" s="5"/>
      <c r="X767" s="5"/>
      <c r="Y767" s="5"/>
      <c r="Z767" s="5"/>
    </row>
    <row r="768" spans="1:26">
      <c r="A768" s="5"/>
      <c r="B768" s="5"/>
      <c r="C768" s="5"/>
      <c r="U768" s="5"/>
      <c r="X768" s="5"/>
      <c r="Y768" s="5"/>
      <c r="Z768" s="5"/>
    </row>
    <row r="769" spans="1:26">
      <c r="A769" s="5"/>
      <c r="B769" s="5"/>
      <c r="C769" s="5"/>
      <c r="U769" s="5"/>
      <c r="X769" s="5"/>
      <c r="Y769" s="5"/>
      <c r="Z769" s="5"/>
    </row>
    <row r="770" spans="1:26">
      <c r="A770" s="5"/>
      <c r="B770" s="5"/>
      <c r="C770" s="5"/>
      <c r="U770" s="5"/>
      <c r="X770" s="5"/>
      <c r="Y770" s="5"/>
      <c r="Z770" s="5"/>
    </row>
    <row r="771" spans="1:26">
      <c r="A771" s="5"/>
      <c r="B771" s="5"/>
      <c r="C771" s="5"/>
      <c r="U771" s="5"/>
      <c r="X771" s="5"/>
      <c r="Y771" s="5"/>
      <c r="Z771" s="5"/>
    </row>
    <row r="772" spans="1:26">
      <c r="A772" s="5"/>
      <c r="B772" s="5"/>
      <c r="C772" s="5"/>
      <c r="U772" s="5"/>
      <c r="X772" s="5"/>
      <c r="Y772" s="5"/>
      <c r="Z772" s="5"/>
    </row>
    <row r="773" spans="1:26">
      <c r="A773" s="5"/>
      <c r="B773" s="5"/>
      <c r="C773" s="5"/>
      <c r="U773" s="5"/>
      <c r="X773" s="5"/>
      <c r="Y773" s="5"/>
      <c r="Z773" s="5"/>
    </row>
    <row r="774" spans="1:26">
      <c r="A774" s="5"/>
      <c r="B774" s="5"/>
      <c r="C774" s="5"/>
      <c r="U774" s="5"/>
      <c r="X774" s="5"/>
      <c r="Y774" s="5"/>
      <c r="Z774" s="5"/>
    </row>
    <row r="775" spans="1:26">
      <c r="A775" s="5"/>
      <c r="B775" s="5"/>
      <c r="C775" s="5"/>
      <c r="U775" s="5"/>
      <c r="X775" s="5"/>
      <c r="Y775" s="5"/>
      <c r="Z775" s="5"/>
    </row>
    <row r="776" spans="1:26">
      <c r="A776" s="5"/>
      <c r="B776" s="5"/>
      <c r="C776" s="5"/>
      <c r="U776" s="5"/>
      <c r="X776" s="5"/>
      <c r="Y776" s="5"/>
      <c r="Z776" s="5"/>
    </row>
    <row r="777" spans="1:26">
      <c r="A777" s="5"/>
      <c r="B777" s="5"/>
      <c r="C777" s="5"/>
      <c r="U777" s="5"/>
      <c r="X777" s="5"/>
      <c r="Y777" s="5"/>
      <c r="Z777" s="5"/>
    </row>
  </sheetData>
  <sheetProtection algorithmName="SHA-512" hashValue="GgVJsZwAWhql/pPgi734ZGtq+WsEPtOc/4O1HLfzZZdOcIO9jM8yewPkjuDJ/qriQTviNec19fpLUiXdL/bVpw==" saltValue="28MKRudP7Ah+vMN+74BVqg==" spinCount="100000" sheet="1" objects="1" sort="0" autoFilter="0" pivotTables="0"/>
  <mergeCells count="8">
    <mergeCell ref="B4:B5"/>
    <mergeCell ref="X4:Z4"/>
    <mergeCell ref="C4:D4"/>
    <mergeCell ref="C5:D5"/>
    <mergeCell ref="F4:H4"/>
    <mergeCell ref="P4:P5"/>
    <mergeCell ref="I4:L4"/>
    <mergeCell ref="M4:O4"/>
  </mergeCells>
  <pageMargins left="0.51181102362204722" right="0.31496062992125984" top="0.39370078740157483" bottom="0.51181102362204722" header="0.31496062992125984" footer="0.31496062992125984"/>
  <pageSetup paperSize="9" scale="80" fitToWidth="0" fitToHeight="0" orientation="landscape" r:id="rId1"/>
  <rowBreaks count="16" manualBreakCount="16">
    <brk id="48" min="1" max="15" man="1"/>
    <brk id="90" min="1" max="15" man="1"/>
    <brk id="126" min="1" max="15" man="1"/>
    <brk id="161" min="1" max="15" man="1"/>
    <brk id="191" min="1" max="15" man="1"/>
    <brk id="229" min="1" max="15" man="1"/>
    <brk id="263" min="1" max="15" man="1"/>
    <brk id="340" min="1" max="15" man="1"/>
    <brk id="380" min="1" max="15" man="1"/>
    <brk id="414" min="1" max="15" man="1"/>
    <brk id="455" min="1" max="15" man="1"/>
    <brk id="484" min="1" max="15" man="1"/>
    <brk id="515" min="1" max="15" man="1"/>
    <brk id="555" min="1" max="15" man="1"/>
    <brk id="595" min="1" max="15" man="1"/>
    <brk id="626"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00FF"/>
  </sheetPr>
  <dimension ref="A1:AE520"/>
  <sheetViews>
    <sheetView showGridLines="0" zoomScale="80" zoomScaleNormal="80" zoomScaleSheetLayoutView="80" zoomScalePageLayoutView="80" workbookViewId="0"/>
  </sheetViews>
  <sheetFormatPr defaultColWidth="0" defaultRowHeight="12.75" zeroHeight="1"/>
  <cols>
    <col min="1" max="1" width="4.77734375" style="92" customWidth="1"/>
    <col min="2" max="2" width="3.88671875" style="5" customWidth="1"/>
    <col min="3" max="3" width="2.77734375" style="5" customWidth="1"/>
    <col min="4" max="4" width="27.5546875" style="5" customWidth="1"/>
    <col min="5" max="5" width="10" style="565" customWidth="1"/>
    <col min="6" max="6" width="7.88671875" style="5" customWidth="1"/>
    <col min="7" max="7" width="7" style="5" customWidth="1"/>
    <col min="8" max="8" width="4.44140625" style="5" customWidth="1"/>
    <col min="9" max="10" width="6.44140625" style="5" customWidth="1"/>
    <col min="11" max="11" width="6.109375" style="5" bestFit="1" customWidth="1"/>
    <col min="12" max="12" width="7.6640625" style="5" customWidth="1"/>
    <col min="13" max="13" width="7.109375" style="5" customWidth="1"/>
    <col min="14" max="14" width="6" style="5" customWidth="1"/>
    <col min="15" max="15" width="5.88671875" style="5" customWidth="1"/>
    <col min="16" max="16" width="6.33203125" style="5" customWidth="1"/>
    <col min="17" max="17" width="7" style="5" customWidth="1"/>
    <col min="18" max="18" width="5.109375" style="5" bestFit="1" customWidth="1"/>
    <col min="19" max="19" width="5.5546875" style="5" bestFit="1" customWidth="1"/>
    <col min="20" max="20" width="5.6640625" style="152" customWidth="1"/>
    <col min="21" max="21" width="5.6640625" style="5" customWidth="1"/>
    <col min="22" max="22" width="1.109375" style="5" customWidth="1"/>
    <col min="23" max="25" width="6.88671875" style="5" customWidth="1"/>
    <col min="26" max="26" width="6.6640625" style="104" customWidth="1"/>
    <col min="27" max="27" width="1.109375" style="5" customWidth="1"/>
    <col min="28" max="28" width="9" style="78" hidden="1" customWidth="1"/>
    <col min="29" max="29" width="5.21875" style="79" hidden="1" customWidth="1"/>
    <col min="30" max="30" width="7.6640625" style="80" hidden="1" customWidth="1"/>
    <col min="31" max="31" width="7.6640625" style="69" hidden="1" customWidth="1"/>
    <col min="32" max="16384" width="8.88671875" style="69" hidden="1"/>
  </cols>
  <sheetData>
    <row r="1" spans="1:30"/>
    <row r="2" spans="1:30" s="452" customFormat="1" ht="30" customHeight="1" thickBot="1">
      <c r="A2" s="31"/>
      <c r="B2" s="329" t="s">
        <v>499</v>
      </c>
      <c r="C2" s="330"/>
      <c r="D2" s="330"/>
      <c r="E2" s="554"/>
      <c r="F2" s="330"/>
      <c r="G2" s="330"/>
      <c r="H2" s="330"/>
      <c r="I2" s="330"/>
      <c r="J2" s="330"/>
      <c r="K2" s="330"/>
      <c r="L2" s="330"/>
      <c r="M2" s="330"/>
      <c r="N2" s="330"/>
      <c r="O2" s="330"/>
      <c r="P2" s="330"/>
      <c r="Q2" s="330"/>
      <c r="R2" s="330"/>
      <c r="S2" s="330"/>
      <c r="T2" s="330"/>
      <c r="U2" s="331"/>
      <c r="V2" s="5"/>
      <c r="W2" s="285"/>
      <c r="X2" s="285"/>
      <c r="Y2" s="285"/>
      <c r="Z2" s="286"/>
      <c r="AA2" s="158"/>
      <c r="AB2" s="159"/>
      <c r="AC2" s="160"/>
      <c r="AD2" s="161"/>
    </row>
    <row r="3" spans="1:30">
      <c r="C3" s="333"/>
      <c r="D3" s="333"/>
      <c r="E3" s="555"/>
      <c r="F3" s="333"/>
      <c r="G3" s="333"/>
      <c r="H3" s="333"/>
      <c r="I3" s="333"/>
      <c r="J3" s="333"/>
      <c r="K3" s="333"/>
      <c r="L3" s="333"/>
      <c r="M3" s="333"/>
      <c r="N3" s="333"/>
      <c r="O3" s="333"/>
      <c r="P3" s="333"/>
      <c r="Q3" s="333"/>
      <c r="R3" s="333"/>
      <c r="S3" s="333"/>
      <c r="T3" s="334"/>
      <c r="U3" s="333"/>
      <c r="W3" s="122"/>
      <c r="X3" s="72"/>
      <c r="Y3" s="72"/>
      <c r="Z3" s="108"/>
    </row>
    <row r="4" spans="1:30" ht="27.75" customHeight="1">
      <c r="A4" s="92" t="str">
        <f>IF(ISNUMBER(D4),ROW(),"")</f>
        <v/>
      </c>
      <c r="C4" s="1017"/>
      <c r="D4" s="989"/>
      <c r="E4" s="1036" t="s">
        <v>73</v>
      </c>
      <c r="F4" s="1018" t="s">
        <v>78</v>
      </c>
      <c r="G4" s="1019"/>
      <c r="H4" s="1019"/>
      <c r="I4" s="1019"/>
      <c r="J4" s="1019"/>
      <c r="K4" s="1020"/>
      <c r="L4" s="1018" t="s">
        <v>82</v>
      </c>
      <c r="M4" s="1019"/>
      <c r="N4" s="1019"/>
      <c r="O4" s="1020"/>
      <c r="P4" s="1014" t="s">
        <v>605</v>
      </c>
      <c r="Q4" s="1015"/>
      <c r="R4" s="1015"/>
      <c r="S4" s="1016"/>
      <c r="T4" s="1014" t="s">
        <v>92</v>
      </c>
      <c r="U4" s="1016"/>
      <c r="W4" s="1014" t="s">
        <v>41</v>
      </c>
      <c r="X4" s="1015"/>
      <c r="Y4" s="1015"/>
      <c r="Z4" s="1016"/>
      <c r="AB4" s="78" t="s">
        <v>33</v>
      </c>
    </row>
    <row r="5" spans="1:30" ht="15" customHeight="1">
      <c r="A5" s="267"/>
      <c r="C5" s="1034"/>
      <c r="D5" s="1030" t="s">
        <v>496</v>
      </c>
      <c r="E5" s="1037"/>
      <c r="F5" s="975" t="s">
        <v>76</v>
      </c>
      <c r="G5" s="977" t="s">
        <v>75</v>
      </c>
      <c r="H5" s="977" t="s">
        <v>159</v>
      </c>
      <c r="I5" s="1029" t="s">
        <v>493</v>
      </c>
      <c r="J5" s="1030"/>
      <c r="K5" s="979" t="s">
        <v>149</v>
      </c>
      <c r="L5" s="1039" t="s">
        <v>494</v>
      </c>
      <c r="M5" s="1030" t="s">
        <v>1228</v>
      </c>
      <c r="N5" s="977" t="s">
        <v>50</v>
      </c>
      <c r="O5" s="983" t="s">
        <v>39</v>
      </c>
      <c r="P5" s="1039" t="s">
        <v>429</v>
      </c>
      <c r="Q5" s="1030" t="s">
        <v>495</v>
      </c>
      <c r="R5" s="977" t="s">
        <v>41</v>
      </c>
      <c r="S5" s="983" t="s">
        <v>39</v>
      </c>
      <c r="T5" s="1021"/>
      <c r="U5" s="1022"/>
      <c r="W5" s="975" t="s">
        <v>141</v>
      </c>
      <c r="X5" s="977" t="s">
        <v>142</v>
      </c>
      <c r="Y5" s="1023" t="s">
        <v>155</v>
      </c>
      <c r="Z5" s="1025" t="s">
        <v>39</v>
      </c>
      <c r="AB5" s="1012" t="s">
        <v>120</v>
      </c>
      <c r="AC5" s="1012" t="s">
        <v>121</v>
      </c>
      <c r="AD5" s="1013" t="s">
        <v>145</v>
      </c>
    </row>
    <row r="6" spans="1:30">
      <c r="A6" s="31" t="s">
        <v>72</v>
      </c>
      <c r="C6" s="1035"/>
      <c r="D6" s="978"/>
      <c r="E6" s="1038"/>
      <c r="F6" s="976"/>
      <c r="G6" s="978"/>
      <c r="H6" s="978"/>
      <c r="I6" s="1031"/>
      <c r="J6" s="1032"/>
      <c r="K6" s="980"/>
      <c r="L6" s="976"/>
      <c r="M6" s="978"/>
      <c r="N6" s="978"/>
      <c r="O6" s="984"/>
      <c r="P6" s="976"/>
      <c r="Q6" s="978"/>
      <c r="R6" s="978"/>
      <c r="S6" s="1033"/>
      <c r="T6" s="271" t="s">
        <v>43</v>
      </c>
      <c r="U6" s="272" t="s">
        <v>39</v>
      </c>
      <c r="W6" s="1027"/>
      <c r="X6" s="1028"/>
      <c r="Y6" s="1024"/>
      <c r="Z6" s="1026"/>
      <c r="AB6" s="1012"/>
      <c r="AC6" s="1012"/>
      <c r="AD6" s="1013"/>
    </row>
    <row r="7" spans="1:30">
      <c r="A7" s="92" t="str">
        <f t="shared" ref="A7:A286" si="0">IF(ISNUMBER(E7),ROW(),"")</f>
        <v/>
      </c>
      <c r="B7" s="16"/>
      <c r="C7" s="98"/>
      <c r="D7" s="18"/>
      <c r="E7" s="556" t="s">
        <v>52</v>
      </c>
      <c r="F7" s="41" t="s">
        <v>139</v>
      </c>
      <c r="G7" s="42" t="s">
        <v>139</v>
      </c>
      <c r="H7" s="42" t="s">
        <v>28</v>
      </c>
      <c r="I7" s="281" t="s">
        <v>503</v>
      </c>
      <c r="J7" s="279" t="s">
        <v>492</v>
      </c>
      <c r="K7" s="42" t="s">
        <v>146</v>
      </c>
      <c r="L7" s="41" t="s">
        <v>140</v>
      </c>
      <c r="M7" s="42" t="s">
        <v>140</v>
      </c>
      <c r="N7" s="42" t="s">
        <v>140</v>
      </c>
      <c r="O7" s="48" t="s">
        <v>140</v>
      </c>
      <c r="P7" s="44" t="s">
        <v>140</v>
      </c>
      <c r="Q7" s="18" t="s">
        <v>140</v>
      </c>
      <c r="R7" s="18" t="s">
        <v>140</v>
      </c>
      <c r="S7" s="49" t="s">
        <v>140</v>
      </c>
      <c r="T7" s="193" t="s">
        <v>140</v>
      </c>
      <c r="U7" s="49" t="s">
        <v>140</v>
      </c>
      <c r="W7" s="58" t="s">
        <v>140</v>
      </c>
      <c r="X7" s="106" t="s">
        <v>140</v>
      </c>
      <c r="Y7" s="59" t="s">
        <v>140</v>
      </c>
      <c r="Z7" s="107" t="s">
        <v>140</v>
      </c>
    </row>
    <row r="8" spans="1:30" ht="7.5" customHeight="1">
      <c r="A8" s="92" t="str">
        <f t="shared" si="0"/>
        <v/>
      </c>
      <c r="B8" s="16"/>
      <c r="C8" s="2"/>
      <c r="D8" s="2"/>
      <c r="E8" s="557"/>
      <c r="F8" s="2"/>
      <c r="G8" s="2"/>
      <c r="H8" s="2"/>
      <c r="I8" s="2"/>
      <c r="J8" s="2"/>
      <c r="K8" s="76"/>
      <c r="L8" s="2"/>
      <c r="M8" s="2"/>
      <c r="N8" s="2"/>
      <c r="O8" s="2"/>
      <c r="P8" s="2"/>
      <c r="Q8" s="2"/>
      <c r="R8" s="2"/>
      <c r="S8" s="2"/>
      <c r="T8" s="269"/>
      <c r="U8" s="37"/>
      <c r="W8" s="57"/>
      <c r="X8" s="57"/>
      <c r="Y8" s="16"/>
    </row>
    <row r="9" spans="1:30" s="452" customFormat="1" ht="23.25" customHeight="1" thickBot="1">
      <c r="A9" s="31" t="str">
        <f>IF(ISNUMBER(E9),ROW(),"")</f>
        <v/>
      </c>
      <c r="B9" s="287">
        <f>ROUNDDOWN(MAX('Implemente &amp; Waens'!B:B),0)+1</f>
        <v>17</v>
      </c>
      <c r="C9" s="288" t="s">
        <v>138</v>
      </c>
      <c r="D9" s="289"/>
      <c r="E9" s="558"/>
      <c r="F9" s="291"/>
      <c r="G9" s="291"/>
      <c r="H9" s="291"/>
      <c r="I9" s="291"/>
      <c r="J9" s="291"/>
      <c r="K9" s="291"/>
      <c r="L9" s="579"/>
      <c r="M9" s="579"/>
      <c r="N9" s="579"/>
      <c r="O9" s="579"/>
      <c r="P9" s="579"/>
      <c r="Q9" s="579"/>
      <c r="R9" s="579"/>
      <c r="S9" s="579"/>
      <c r="T9" s="298"/>
      <c r="U9" s="580"/>
      <c r="V9" s="581"/>
      <c r="W9" s="582"/>
      <c r="X9" s="583"/>
      <c r="Y9" s="583"/>
      <c r="Z9" s="584"/>
      <c r="AA9" s="158"/>
      <c r="AB9" s="159" t="s">
        <v>33</v>
      </c>
      <c r="AC9" s="160"/>
      <c r="AD9" s="161"/>
    </row>
    <row r="10" spans="1:30" ht="6.75" customHeight="1">
      <c r="A10" s="93" t="str">
        <f>IF(ISNUMBER(E10),ROW(),"")</f>
        <v/>
      </c>
      <c r="B10" s="69"/>
      <c r="C10" s="89"/>
      <c r="D10" s="2"/>
      <c r="E10" s="559"/>
      <c r="F10" s="70"/>
      <c r="G10" s="70"/>
      <c r="H10" s="70"/>
      <c r="I10" s="573"/>
      <c r="J10" s="573"/>
      <c r="K10" s="118"/>
      <c r="L10" s="585"/>
      <c r="M10" s="585"/>
      <c r="N10" s="585"/>
      <c r="O10" s="585"/>
      <c r="P10" s="585"/>
      <c r="Q10" s="585"/>
      <c r="R10" s="585"/>
      <c r="S10" s="585"/>
      <c r="T10" s="175"/>
      <c r="U10" s="586"/>
      <c r="V10" s="587"/>
      <c r="W10" s="588"/>
      <c r="X10" s="589"/>
      <c r="Y10" s="589"/>
      <c r="Z10" s="590"/>
      <c r="AA10" s="69"/>
      <c r="AB10" s="81"/>
      <c r="AC10" s="82"/>
      <c r="AD10" s="83"/>
    </row>
    <row r="11" spans="1:30">
      <c r="A11" s="171"/>
      <c r="B11" s="69"/>
      <c r="C11" s="868" t="s">
        <v>1498</v>
      </c>
      <c r="D11" s="789"/>
      <c r="E11" s="869"/>
      <c r="F11" s="870"/>
      <c r="G11" s="870"/>
      <c r="H11" s="870"/>
      <c r="I11" s="573"/>
      <c r="J11" s="573"/>
      <c r="K11" s="118"/>
      <c r="L11" s="585"/>
      <c r="M11" s="585"/>
      <c r="N11" s="585"/>
      <c r="O11" s="585"/>
      <c r="P11" s="585"/>
      <c r="Q11" s="585"/>
      <c r="R11" s="585"/>
      <c r="S11" s="585"/>
      <c r="T11" s="175"/>
      <c r="U11" s="586"/>
      <c r="V11" s="587"/>
      <c r="W11" s="591"/>
      <c r="X11" s="585"/>
      <c r="Y11" s="585"/>
      <c r="Z11" s="592"/>
      <c r="AA11" s="69"/>
      <c r="AB11" s="81"/>
      <c r="AC11" s="82"/>
      <c r="AD11" s="83"/>
    </row>
    <row r="12" spans="1:30">
      <c r="A12" s="277"/>
      <c r="B12" s="69"/>
      <c r="C12" s="89"/>
      <c r="D12" s="2"/>
      <c r="E12" s="559"/>
      <c r="F12" s="70"/>
      <c r="G12" s="70"/>
      <c r="H12" s="70"/>
      <c r="I12" s="574"/>
      <c r="J12" s="573"/>
      <c r="K12" s="118"/>
      <c r="L12" s="585"/>
      <c r="M12" s="585"/>
      <c r="N12" s="585"/>
      <c r="O12" s="585"/>
      <c r="P12" s="585"/>
      <c r="Q12" s="585"/>
      <c r="R12" s="585"/>
      <c r="S12" s="585"/>
      <c r="T12" s="175"/>
      <c r="U12" s="586"/>
      <c r="V12" s="587"/>
      <c r="W12" s="593"/>
      <c r="X12" s="585"/>
      <c r="Y12" s="585"/>
      <c r="Z12" s="592"/>
      <c r="AA12" s="69"/>
      <c r="AB12" s="81"/>
      <c r="AC12" s="82"/>
      <c r="AD12" s="83"/>
    </row>
    <row r="13" spans="1:30" ht="15.75">
      <c r="A13" s="310" t="str">
        <f t="shared" ref="A13:A16" si="1">IF(ISNUMBER(E13),ROW(),"")</f>
        <v/>
      </c>
      <c r="C13" s="791" t="s">
        <v>1343</v>
      </c>
      <c r="D13" s="16"/>
      <c r="E13" s="561"/>
      <c r="F13" s="12"/>
      <c r="G13" s="12"/>
      <c r="H13" s="12"/>
      <c r="I13" s="576"/>
      <c r="J13" s="575"/>
      <c r="K13" s="120"/>
      <c r="L13" s="594"/>
      <c r="M13" s="595"/>
      <c r="N13" s="600"/>
      <c r="O13" s="601"/>
      <c r="P13" s="602"/>
      <c r="Q13" s="594"/>
      <c r="R13" s="600"/>
      <c r="S13" s="601"/>
      <c r="T13" s="598"/>
      <c r="U13" s="599"/>
      <c r="V13" s="597"/>
      <c r="W13" s="603"/>
      <c r="X13" s="594"/>
      <c r="Y13" s="600"/>
      <c r="Z13" s="604"/>
      <c r="AC13" s="772"/>
    </row>
    <row r="14" spans="1:30">
      <c r="A14" s="310">
        <f t="shared" si="1"/>
        <v>14</v>
      </c>
      <c r="C14" s="792"/>
      <c r="D14" s="16" t="s">
        <v>1344</v>
      </c>
      <c r="E14" s="678">
        <v>232900</v>
      </c>
      <c r="F14" s="12">
        <v>160000</v>
      </c>
      <c r="G14" s="12">
        <v>20000</v>
      </c>
      <c r="H14" s="12">
        <v>50</v>
      </c>
      <c r="I14" s="576">
        <v>12.4</v>
      </c>
      <c r="J14" s="575">
        <f t="shared" ref="J14:J16" si="2">100/I14</f>
        <v>8.064516129032258</v>
      </c>
      <c r="K14" s="797" t="s">
        <v>1157</v>
      </c>
      <c r="L14" s="594">
        <f>MROUND($E14*(1-$E$295/100)/F14,0.05)</f>
        <v>1.3</v>
      </c>
      <c r="M14" s="595">
        <f>MROUND($E14*(1+$E$295/100)/2*$F$304/100/$G14,0.05)</f>
        <v>0.5</v>
      </c>
      <c r="N14" s="600">
        <f>MROUND($E14*(1+$E$295/100)/2*$E$296/100/$G14,0.05)</f>
        <v>0.65</v>
      </c>
      <c r="O14" s="601">
        <f t="shared" ref="O14:O16" si="3">SUM(L14:N14)</f>
        <v>2.4500000000000002</v>
      </c>
      <c r="P14" s="602">
        <f>MROUND(1/$J14*IF(K14="Petrol",Aannames!$F$65,$E$297),0.05)</f>
        <v>1.6</v>
      </c>
      <c r="Q14" s="594">
        <f>MROUND($E14*$H14/100/$F14,0.05)</f>
        <v>0.75</v>
      </c>
      <c r="R14" s="600">
        <f>MROUND(SUM(Z14),0.05)</f>
        <v>0.45</v>
      </c>
      <c r="S14" s="601">
        <f t="shared" ref="S14:S16" si="4">SUM(P14:R14)</f>
        <v>2.8000000000000003</v>
      </c>
      <c r="T14" s="598">
        <f t="shared" ref="T14:T16" si="5">U14-P14</f>
        <v>3.65</v>
      </c>
      <c r="U14" s="599">
        <f t="shared" ref="U14:U16" si="6">S14+O14</f>
        <v>5.25</v>
      </c>
      <c r="V14" s="597"/>
      <c r="W14" s="603">
        <f>1/$J14*$F$314/100*$K$300</f>
        <v>4.4949999999999997E-2</v>
      </c>
      <c r="X14" s="594">
        <f t="shared" ref="X14:X16" si="7">AC14*AD14</f>
        <v>0.17</v>
      </c>
      <c r="Y14" s="600">
        <f>SUM(P14,Q14,W14,X14)*$F$308/100</f>
        <v>0.25649499999999997</v>
      </c>
      <c r="Z14" s="604">
        <f t="shared" ref="Z14:Z16" si="8">SUM(W14:Y14)</f>
        <v>0.471445</v>
      </c>
      <c r="AB14" s="78" t="str">
        <f>Aannames!$C$198</f>
        <v>265  R 16</v>
      </c>
      <c r="AC14" s="772">
        <v>5</v>
      </c>
      <c r="AD14" s="80">
        <f>$I$320</f>
        <v>3.4000000000000002E-2</v>
      </c>
    </row>
    <row r="15" spans="1:30">
      <c r="A15" s="310">
        <f t="shared" si="1"/>
        <v>15</v>
      </c>
      <c r="C15" s="792"/>
      <c r="D15" s="2" t="s">
        <v>1345</v>
      </c>
      <c r="E15" s="678">
        <v>402900</v>
      </c>
      <c r="F15" s="12">
        <v>160000</v>
      </c>
      <c r="G15" s="12">
        <v>20000</v>
      </c>
      <c r="H15" s="12">
        <v>50</v>
      </c>
      <c r="I15" s="576">
        <v>9.5</v>
      </c>
      <c r="J15" s="575">
        <f t="shared" si="2"/>
        <v>10.526315789473685</v>
      </c>
      <c r="K15" s="797" t="s">
        <v>147</v>
      </c>
      <c r="L15" s="594">
        <f>MROUND($E15*(1-$E$295/100)/F15,0.05)</f>
        <v>2.25</v>
      </c>
      <c r="M15" s="595">
        <f>MROUND($E15*(1+$E$295/100)/2*$F$304/100/$G15,0.05)</f>
        <v>0.85000000000000009</v>
      </c>
      <c r="N15" s="600">
        <f>MROUND($E15*(1+$E$295/100)/2*$E$296/100/$G15,0.05)</f>
        <v>1.1500000000000001</v>
      </c>
      <c r="O15" s="601">
        <f t="shared" si="3"/>
        <v>4.25</v>
      </c>
      <c r="P15" s="602">
        <f>MROUND(1/$J15*IF(K15="Petrol",Aannames!$F$65,$E$297),0.05)</f>
        <v>1.1500000000000001</v>
      </c>
      <c r="Q15" s="594">
        <f>MROUND($E15*$H15/100/$F15,0.05)</f>
        <v>1.25</v>
      </c>
      <c r="R15" s="600">
        <f t="shared" ref="R15:R16" si="9">MROUND(SUM(Z15),0.05)</f>
        <v>0.45</v>
      </c>
      <c r="S15" s="601">
        <f t="shared" si="4"/>
        <v>2.8500000000000005</v>
      </c>
      <c r="T15" s="598">
        <f t="shared" si="5"/>
        <v>5.95</v>
      </c>
      <c r="U15" s="599">
        <f t="shared" si="6"/>
        <v>7.1000000000000005</v>
      </c>
      <c r="V15" s="597"/>
      <c r="W15" s="603">
        <f>1/$J15*$F$314/100*$K$300</f>
        <v>3.4437499999999996E-2</v>
      </c>
      <c r="X15" s="594">
        <f t="shared" si="7"/>
        <v>0.17</v>
      </c>
      <c r="Y15" s="600">
        <f>SUM(P15,Q15,W15,X15)*$F$308/100</f>
        <v>0.26044375000000003</v>
      </c>
      <c r="Z15" s="604">
        <f t="shared" si="8"/>
        <v>0.46488125000000002</v>
      </c>
      <c r="AB15" s="78" t="str">
        <f>Aannames!$C$198</f>
        <v>265  R 16</v>
      </c>
      <c r="AC15" s="772">
        <v>5</v>
      </c>
      <c r="AD15" s="80">
        <f>$I$320</f>
        <v>3.4000000000000002E-2</v>
      </c>
    </row>
    <row r="16" spans="1:30">
      <c r="A16" s="310">
        <f t="shared" si="1"/>
        <v>16</v>
      </c>
      <c r="C16" s="792"/>
      <c r="D16" s="2" t="s">
        <v>1346</v>
      </c>
      <c r="E16" s="678">
        <v>468900</v>
      </c>
      <c r="F16" s="12">
        <v>160000</v>
      </c>
      <c r="G16" s="12">
        <v>20000</v>
      </c>
      <c r="H16" s="12">
        <v>50</v>
      </c>
      <c r="I16" s="576">
        <v>9.1999999999999993</v>
      </c>
      <c r="J16" s="575">
        <f t="shared" si="2"/>
        <v>10.869565217391305</v>
      </c>
      <c r="K16" s="120" t="s">
        <v>147</v>
      </c>
      <c r="L16" s="594">
        <f>MROUND($E16*(1-$E$295/100)/F16,0.05)</f>
        <v>2.6500000000000004</v>
      </c>
      <c r="M16" s="595">
        <f>MROUND($E16*(1+$E$295/100)/2*$F$304/100/$G16,0.05)</f>
        <v>0.95000000000000007</v>
      </c>
      <c r="N16" s="600">
        <f>MROUND($E16*(1+$E$295/100)/2*$E$296/100/$G16,0.05)</f>
        <v>1.35</v>
      </c>
      <c r="O16" s="601">
        <f t="shared" si="3"/>
        <v>4.9500000000000011</v>
      </c>
      <c r="P16" s="602">
        <f>MROUND(1/$J16*IF(K16="Petrol",Aannames!$F$65,$E$297),0.05)</f>
        <v>1.1500000000000001</v>
      </c>
      <c r="Q16" s="594">
        <f>MROUND($E16*$H16/100/$F16,0.05)</f>
        <v>1.4500000000000002</v>
      </c>
      <c r="R16" s="600">
        <f t="shared" si="9"/>
        <v>0.5</v>
      </c>
      <c r="S16" s="601">
        <f t="shared" si="4"/>
        <v>3.1000000000000005</v>
      </c>
      <c r="T16" s="598">
        <f t="shared" si="5"/>
        <v>6.9</v>
      </c>
      <c r="U16" s="599">
        <f t="shared" si="6"/>
        <v>8.0500000000000007</v>
      </c>
      <c r="V16" s="597"/>
      <c r="W16" s="603">
        <f>1/$J16*$F$314/100*$K$300</f>
        <v>3.3349999999999998E-2</v>
      </c>
      <c r="X16" s="594">
        <f t="shared" si="7"/>
        <v>0.17</v>
      </c>
      <c r="Y16" s="600">
        <f>SUM(P16,Q16,W16,X16)*$F$308/100</f>
        <v>0.28033500000000006</v>
      </c>
      <c r="Z16" s="604">
        <f t="shared" si="8"/>
        <v>0.48368500000000003</v>
      </c>
      <c r="AB16" s="78" t="str">
        <f>Aannames!$C$198</f>
        <v>265  R 16</v>
      </c>
      <c r="AC16" s="772">
        <v>5</v>
      </c>
      <c r="AD16" s="80">
        <f>$I$320</f>
        <v>3.4000000000000002E-2</v>
      </c>
    </row>
    <row r="17" spans="1:30">
      <c r="A17" s="310"/>
      <c r="B17" s="793"/>
      <c r="C17" s="794"/>
      <c r="D17" s="153"/>
      <c r="E17" s="678"/>
      <c r="F17" s="12"/>
      <c r="G17" s="12"/>
      <c r="H17" s="12"/>
      <c r="I17" s="576"/>
      <c r="J17" s="575"/>
      <c r="K17" s="120"/>
      <c r="L17" s="594"/>
      <c r="M17" s="595"/>
      <c r="N17" s="600"/>
      <c r="O17" s="601"/>
      <c r="P17" s="602"/>
      <c r="Q17" s="594"/>
      <c r="R17" s="600"/>
      <c r="S17" s="601"/>
      <c r="T17" s="598"/>
      <c r="U17" s="599"/>
      <c r="V17" s="597"/>
      <c r="W17" s="603"/>
      <c r="X17" s="594"/>
      <c r="Y17" s="600"/>
      <c r="Z17" s="604"/>
      <c r="AC17" s="772"/>
    </row>
    <row r="18" spans="1:30" ht="15.75">
      <c r="A18" s="310" t="str">
        <f t="shared" ref="A18:A26" si="10">IF(ISNUMBER(E18),ROW(),"")</f>
        <v/>
      </c>
      <c r="B18" s="793"/>
      <c r="C18" s="791" t="s">
        <v>1365</v>
      </c>
      <c r="E18" s="678"/>
      <c r="F18" s="12"/>
      <c r="G18" s="12"/>
      <c r="H18" s="12"/>
      <c r="I18" s="576"/>
      <c r="J18" s="575"/>
      <c r="K18" s="120"/>
      <c r="L18" s="594"/>
      <c r="M18" s="595"/>
      <c r="N18" s="600"/>
      <c r="O18" s="601"/>
      <c r="P18" s="602"/>
      <c r="Q18" s="594"/>
      <c r="R18" s="600"/>
      <c r="S18" s="601"/>
      <c r="T18" s="598"/>
      <c r="U18" s="599"/>
      <c r="V18" s="597"/>
      <c r="W18" s="603"/>
      <c r="X18" s="594"/>
      <c r="Y18" s="600"/>
      <c r="Z18" s="604"/>
      <c r="AC18" s="772"/>
    </row>
    <row r="19" spans="1:30">
      <c r="A19" s="310">
        <f t="shared" si="10"/>
        <v>19</v>
      </c>
      <c r="B19" s="793"/>
      <c r="C19" s="794"/>
      <c r="D19" s="153" t="s">
        <v>1366</v>
      </c>
      <c r="E19" s="678">
        <v>209995</v>
      </c>
      <c r="F19" s="12">
        <v>160000</v>
      </c>
      <c r="G19" s="12">
        <v>20000</v>
      </c>
      <c r="H19" s="12">
        <v>50</v>
      </c>
      <c r="I19" s="576">
        <v>9.6</v>
      </c>
      <c r="J19" s="575">
        <f t="shared" ref="J19:J26" si="11">100/I19</f>
        <v>10.416666666666668</v>
      </c>
      <c r="K19" s="120" t="s">
        <v>147</v>
      </c>
      <c r="L19" s="594">
        <f t="shared" ref="L19:L26" si="12">MROUND($E19*(1-$E$295/100)/F19,0.05)</f>
        <v>1.2000000000000002</v>
      </c>
      <c r="M19" s="595">
        <f t="shared" ref="M19:M26" si="13">MROUND($E19*(1+$E$295/100)/2*$F$304/100/$G19,0.05)</f>
        <v>0.45</v>
      </c>
      <c r="N19" s="600">
        <f t="shared" ref="N19:N26" si="14">MROUND($E19*(1+$E$295/100)/2*$E$296/100/$G19,0.05)</f>
        <v>0.60000000000000009</v>
      </c>
      <c r="O19" s="601">
        <f t="shared" ref="O19:O26" si="15">SUM(L19:N19)</f>
        <v>2.25</v>
      </c>
      <c r="P19" s="602">
        <f>MROUND(1/$J19*IF(K19="Petrol",Aannames!$F$65,$E$297),0.05)</f>
        <v>1.2000000000000002</v>
      </c>
      <c r="Q19" s="594">
        <f t="shared" ref="Q19:Q26" si="16">MROUND($E19*$H19/100/$F19,0.05)</f>
        <v>0.65</v>
      </c>
      <c r="R19" s="600">
        <f t="shared" ref="R19:R26" si="17">MROUND(SUM(Z19),0.05)</f>
        <v>0.4</v>
      </c>
      <c r="S19" s="601">
        <f t="shared" ref="S19:S26" si="18">SUM(P19:R19)</f>
        <v>2.25</v>
      </c>
      <c r="T19" s="598">
        <f t="shared" ref="T19:T26" si="19">U19-P19</f>
        <v>3.3</v>
      </c>
      <c r="U19" s="599">
        <f t="shared" ref="U19:U26" si="20">S19+O19</f>
        <v>4.5</v>
      </c>
      <c r="V19" s="597"/>
      <c r="W19" s="603">
        <f t="shared" ref="W19:W26" si="21">1/$J19*$F$314/100*$K$300</f>
        <v>3.4799999999999998E-2</v>
      </c>
      <c r="X19" s="594">
        <f t="shared" ref="X19:X26" si="22">AC19*AD19</f>
        <v>0.17</v>
      </c>
      <c r="Y19" s="600">
        <f t="shared" ref="Y19:Y26" si="23">SUM(P19,Q19,W19,X19)*$F$308/100</f>
        <v>0.20548000000000002</v>
      </c>
      <c r="Z19" s="604">
        <f t="shared" ref="Z19:Z26" si="24">SUM(W19:Y19)</f>
        <v>0.41028000000000003</v>
      </c>
      <c r="AB19" s="78" t="str">
        <f>Aannames!$C$198</f>
        <v>265  R 16</v>
      </c>
      <c r="AC19" s="772">
        <v>5</v>
      </c>
      <c r="AD19" s="80">
        <f t="shared" ref="AD19:AD26" si="25">$I$320</f>
        <v>3.4000000000000002E-2</v>
      </c>
    </row>
    <row r="20" spans="1:30">
      <c r="A20" s="310">
        <f t="shared" si="10"/>
        <v>20</v>
      </c>
      <c r="B20" s="793"/>
      <c r="C20" s="794"/>
      <c r="D20" s="153" t="s">
        <v>1367</v>
      </c>
      <c r="E20" s="678">
        <v>249995</v>
      </c>
      <c r="F20" s="12">
        <v>160000</v>
      </c>
      <c r="G20" s="12">
        <v>20000</v>
      </c>
      <c r="H20" s="12">
        <v>50</v>
      </c>
      <c r="I20" s="576">
        <v>9.6</v>
      </c>
      <c r="J20" s="575">
        <f t="shared" si="11"/>
        <v>10.416666666666668</v>
      </c>
      <c r="K20" s="120" t="s">
        <v>147</v>
      </c>
      <c r="L20" s="594">
        <f t="shared" si="12"/>
        <v>1.4000000000000001</v>
      </c>
      <c r="M20" s="595">
        <f t="shared" si="13"/>
        <v>0.5</v>
      </c>
      <c r="N20" s="600">
        <f t="shared" si="14"/>
        <v>0.70000000000000007</v>
      </c>
      <c r="O20" s="601">
        <f t="shared" si="15"/>
        <v>2.6</v>
      </c>
      <c r="P20" s="602">
        <f>MROUND(1/$J20*IF(K20="Petrol",Aannames!$F$65,$E$297),0.05)</f>
        <v>1.2000000000000002</v>
      </c>
      <c r="Q20" s="594">
        <f t="shared" si="16"/>
        <v>0.8</v>
      </c>
      <c r="R20" s="600">
        <f t="shared" si="17"/>
        <v>0.45</v>
      </c>
      <c r="S20" s="601">
        <f t="shared" si="18"/>
        <v>2.4500000000000002</v>
      </c>
      <c r="T20" s="598">
        <f t="shared" si="19"/>
        <v>3.8500000000000005</v>
      </c>
      <c r="U20" s="599">
        <f t="shared" si="20"/>
        <v>5.0500000000000007</v>
      </c>
      <c r="V20" s="597"/>
      <c r="W20" s="603">
        <f t="shared" si="21"/>
        <v>3.4799999999999998E-2</v>
      </c>
      <c r="X20" s="594">
        <f t="shared" si="22"/>
        <v>0.17</v>
      </c>
      <c r="Y20" s="600">
        <f t="shared" si="23"/>
        <v>0.22048000000000001</v>
      </c>
      <c r="Z20" s="604">
        <f t="shared" si="24"/>
        <v>0.42527999999999999</v>
      </c>
      <c r="AB20" s="78" t="str">
        <f>Aannames!$C$198</f>
        <v>265  R 16</v>
      </c>
      <c r="AC20" s="772">
        <v>5</v>
      </c>
      <c r="AD20" s="80">
        <f t="shared" si="25"/>
        <v>3.4000000000000002E-2</v>
      </c>
    </row>
    <row r="21" spans="1:30">
      <c r="A21" s="310">
        <f t="shared" si="10"/>
        <v>21</v>
      </c>
      <c r="B21" s="793"/>
      <c r="C21" s="794"/>
      <c r="D21" s="153" t="s">
        <v>1368</v>
      </c>
      <c r="E21" s="678">
        <v>259995</v>
      </c>
      <c r="F21" s="12">
        <v>160000</v>
      </c>
      <c r="G21" s="12">
        <v>20000</v>
      </c>
      <c r="H21" s="12">
        <v>50</v>
      </c>
      <c r="I21" s="576">
        <v>9.6</v>
      </c>
      <c r="J21" s="575">
        <f t="shared" si="11"/>
        <v>10.416666666666668</v>
      </c>
      <c r="K21" s="120" t="s">
        <v>147</v>
      </c>
      <c r="L21" s="594">
        <f t="shared" si="12"/>
        <v>1.4500000000000002</v>
      </c>
      <c r="M21" s="595">
        <f t="shared" si="13"/>
        <v>0.55000000000000004</v>
      </c>
      <c r="N21" s="600">
        <f t="shared" si="14"/>
        <v>0.75</v>
      </c>
      <c r="O21" s="601">
        <f t="shared" si="15"/>
        <v>2.75</v>
      </c>
      <c r="P21" s="602">
        <f>MROUND(1/$J21*IF(K21="Petrol",Aannames!$F$65,$E$297),0.05)</f>
        <v>1.2000000000000002</v>
      </c>
      <c r="Q21" s="594">
        <f t="shared" si="16"/>
        <v>0.8</v>
      </c>
      <c r="R21" s="600">
        <f t="shared" si="17"/>
        <v>0.45</v>
      </c>
      <c r="S21" s="601">
        <f t="shared" si="18"/>
        <v>2.4500000000000002</v>
      </c>
      <c r="T21" s="598">
        <f t="shared" si="19"/>
        <v>4</v>
      </c>
      <c r="U21" s="599">
        <f t="shared" si="20"/>
        <v>5.2</v>
      </c>
      <c r="V21" s="597"/>
      <c r="W21" s="603">
        <f t="shared" si="21"/>
        <v>3.4799999999999998E-2</v>
      </c>
      <c r="X21" s="594">
        <f t="shared" si="22"/>
        <v>0.17</v>
      </c>
      <c r="Y21" s="600">
        <f t="shared" si="23"/>
        <v>0.22048000000000001</v>
      </c>
      <c r="Z21" s="604">
        <f t="shared" si="24"/>
        <v>0.42527999999999999</v>
      </c>
      <c r="AB21" s="78" t="str">
        <f>Aannames!$C$198</f>
        <v>265  R 16</v>
      </c>
      <c r="AC21" s="772">
        <v>5</v>
      </c>
      <c r="AD21" s="80">
        <f t="shared" si="25"/>
        <v>3.4000000000000002E-2</v>
      </c>
    </row>
    <row r="22" spans="1:30">
      <c r="A22" s="310">
        <f t="shared" si="10"/>
        <v>22</v>
      </c>
      <c r="B22" s="793"/>
      <c r="C22" s="794"/>
      <c r="D22" s="153" t="s">
        <v>1369</v>
      </c>
      <c r="E22" s="678">
        <v>299995</v>
      </c>
      <c r="F22" s="12">
        <v>160000</v>
      </c>
      <c r="G22" s="12">
        <v>20000</v>
      </c>
      <c r="H22" s="12">
        <v>50</v>
      </c>
      <c r="I22" s="576">
        <v>10</v>
      </c>
      <c r="J22" s="575">
        <f t="shared" si="11"/>
        <v>10</v>
      </c>
      <c r="K22" s="120" t="s">
        <v>147</v>
      </c>
      <c r="L22" s="594">
        <f t="shared" si="12"/>
        <v>1.7000000000000002</v>
      </c>
      <c r="M22" s="595">
        <f t="shared" si="13"/>
        <v>0.60000000000000009</v>
      </c>
      <c r="N22" s="600">
        <f t="shared" si="14"/>
        <v>0.85000000000000009</v>
      </c>
      <c r="O22" s="601">
        <f t="shared" si="15"/>
        <v>3.1500000000000004</v>
      </c>
      <c r="P22" s="602">
        <f>MROUND(1/$J22*IF(K22="Petrol",Aannames!$F$65,$E$297),0.05)</f>
        <v>1.25</v>
      </c>
      <c r="Q22" s="594">
        <f t="shared" si="16"/>
        <v>0.95000000000000007</v>
      </c>
      <c r="R22" s="600">
        <f t="shared" si="17"/>
        <v>0.45</v>
      </c>
      <c r="S22" s="601">
        <f t="shared" si="18"/>
        <v>2.6500000000000004</v>
      </c>
      <c r="T22" s="598">
        <f t="shared" si="19"/>
        <v>4.5500000000000007</v>
      </c>
      <c r="U22" s="599">
        <f t="shared" si="20"/>
        <v>5.8000000000000007</v>
      </c>
      <c r="V22" s="597"/>
      <c r="W22" s="603">
        <f t="shared" si="21"/>
        <v>3.6249999999999998E-2</v>
      </c>
      <c r="X22" s="594">
        <f t="shared" si="22"/>
        <v>0.17</v>
      </c>
      <c r="Y22" s="600">
        <f t="shared" si="23"/>
        <v>0.24062500000000001</v>
      </c>
      <c r="Z22" s="604">
        <f t="shared" si="24"/>
        <v>0.44687500000000002</v>
      </c>
      <c r="AB22" s="78" t="str">
        <f>Aannames!$C$198</f>
        <v>265  R 16</v>
      </c>
      <c r="AC22" s="772">
        <v>5</v>
      </c>
      <c r="AD22" s="80">
        <f t="shared" si="25"/>
        <v>3.4000000000000002E-2</v>
      </c>
    </row>
    <row r="23" spans="1:30">
      <c r="A23" s="310">
        <f t="shared" si="10"/>
        <v>23</v>
      </c>
      <c r="B23" s="793"/>
      <c r="C23" s="794"/>
      <c r="D23" s="153" t="s">
        <v>1370</v>
      </c>
      <c r="E23" s="678">
        <v>319995</v>
      </c>
      <c r="F23" s="12">
        <v>160000</v>
      </c>
      <c r="G23" s="12">
        <v>20000</v>
      </c>
      <c r="H23" s="12">
        <v>50</v>
      </c>
      <c r="I23" s="576">
        <v>10</v>
      </c>
      <c r="J23" s="575">
        <f t="shared" si="11"/>
        <v>10</v>
      </c>
      <c r="K23" s="120" t="s">
        <v>147</v>
      </c>
      <c r="L23" s="594">
        <f t="shared" si="12"/>
        <v>1.8</v>
      </c>
      <c r="M23" s="595">
        <f t="shared" si="13"/>
        <v>0.65</v>
      </c>
      <c r="N23" s="600">
        <f t="shared" si="14"/>
        <v>0.9</v>
      </c>
      <c r="O23" s="601">
        <f t="shared" si="15"/>
        <v>3.35</v>
      </c>
      <c r="P23" s="602">
        <f>MROUND(1/$J23*IF(K23="Petrol",Aannames!$F$65,$E$297),0.05)</f>
        <v>1.25</v>
      </c>
      <c r="Q23" s="594">
        <f t="shared" si="16"/>
        <v>1</v>
      </c>
      <c r="R23" s="600">
        <f t="shared" si="17"/>
        <v>0.45</v>
      </c>
      <c r="S23" s="601">
        <f t="shared" si="18"/>
        <v>2.7</v>
      </c>
      <c r="T23" s="598">
        <f t="shared" si="19"/>
        <v>4.8000000000000007</v>
      </c>
      <c r="U23" s="599">
        <f t="shared" si="20"/>
        <v>6.0500000000000007</v>
      </c>
      <c r="V23" s="597"/>
      <c r="W23" s="603">
        <f t="shared" si="21"/>
        <v>3.6249999999999998E-2</v>
      </c>
      <c r="X23" s="594">
        <f t="shared" si="22"/>
        <v>0.17</v>
      </c>
      <c r="Y23" s="600">
        <f t="shared" si="23"/>
        <v>0.24562500000000001</v>
      </c>
      <c r="Z23" s="604">
        <f t="shared" si="24"/>
        <v>0.45187500000000003</v>
      </c>
      <c r="AB23" s="78" t="str">
        <f>Aannames!$C$198</f>
        <v>265  R 16</v>
      </c>
      <c r="AC23" s="772">
        <v>5</v>
      </c>
      <c r="AD23" s="80">
        <f t="shared" si="25"/>
        <v>3.4000000000000002E-2</v>
      </c>
    </row>
    <row r="24" spans="1:30">
      <c r="A24" s="310">
        <f t="shared" si="10"/>
        <v>24</v>
      </c>
      <c r="B24" s="793"/>
      <c r="C24" s="794"/>
      <c r="D24" s="153" t="s">
        <v>1371</v>
      </c>
      <c r="E24" s="678">
        <v>329995</v>
      </c>
      <c r="F24" s="12">
        <v>160000</v>
      </c>
      <c r="G24" s="12">
        <v>20000</v>
      </c>
      <c r="H24" s="12">
        <v>50</v>
      </c>
      <c r="I24" s="576">
        <v>10</v>
      </c>
      <c r="J24" s="575">
        <f t="shared" si="11"/>
        <v>10</v>
      </c>
      <c r="K24" s="120" t="s">
        <v>147</v>
      </c>
      <c r="L24" s="594">
        <f t="shared" si="12"/>
        <v>1.85</v>
      </c>
      <c r="M24" s="595">
        <f t="shared" si="13"/>
        <v>0.70000000000000007</v>
      </c>
      <c r="N24" s="600">
        <f t="shared" si="14"/>
        <v>0.95000000000000007</v>
      </c>
      <c r="O24" s="601">
        <f t="shared" si="15"/>
        <v>3.5000000000000004</v>
      </c>
      <c r="P24" s="602">
        <f>MROUND(1/$J24*IF(K24="Petrol",Aannames!$F$65,$E$297),0.05)</f>
        <v>1.25</v>
      </c>
      <c r="Q24" s="594">
        <f t="shared" si="16"/>
        <v>1.05</v>
      </c>
      <c r="R24" s="600">
        <f t="shared" si="17"/>
        <v>0.45</v>
      </c>
      <c r="S24" s="601">
        <f t="shared" si="18"/>
        <v>2.75</v>
      </c>
      <c r="T24" s="598">
        <f t="shared" si="19"/>
        <v>5</v>
      </c>
      <c r="U24" s="599">
        <f t="shared" si="20"/>
        <v>6.25</v>
      </c>
      <c r="V24" s="597"/>
      <c r="W24" s="603">
        <f t="shared" si="21"/>
        <v>3.6249999999999998E-2</v>
      </c>
      <c r="X24" s="594">
        <f t="shared" si="22"/>
        <v>0.17</v>
      </c>
      <c r="Y24" s="600">
        <f t="shared" si="23"/>
        <v>0.25062499999999999</v>
      </c>
      <c r="Z24" s="604">
        <f t="shared" si="24"/>
        <v>0.45687500000000003</v>
      </c>
      <c r="AB24" s="78" t="str">
        <f>Aannames!$C$198</f>
        <v>265  R 16</v>
      </c>
      <c r="AC24" s="772">
        <v>5</v>
      </c>
      <c r="AD24" s="80">
        <f t="shared" si="25"/>
        <v>3.4000000000000002E-2</v>
      </c>
    </row>
    <row r="25" spans="1:30">
      <c r="A25" s="310">
        <f t="shared" si="10"/>
        <v>25</v>
      </c>
      <c r="B25" s="793"/>
      <c r="C25" s="794"/>
      <c r="D25" s="2" t="s">
        <v>1372</v>
      </c>
      <c r="E25" s="678">
        <v>389995</v>
      </c>
      <c r="F25" s="12">
        <v>160000</v>
      </c>
      <c r="G25" s="12">
        <v>20000</v>
      </c>
      <c r="H25" s="12">
        <v>50</v>
      </c>
      <c r="I25" s="576">
        <v>9.9600000000000009</v>
      </c>
      <c r="J25" s="575">
        <f t="shared" si="11"/>
        <v>10.04016064257028</v>
      </c>
      <c r="K25" s="120" t="s">
        <v>147</v>
      </c>
      <c r="L25" s="594">
        <f t="shared" si="12"/>
        <v>2.2000000000000002</v>
      </c>
      <c r="M25" s="595">
        <f t="shared" si="13"/>
        <v>0.8</v>
      </c>
      <c r="N25" s="600">
        <f t="shared" si="14"/>
        <v>1.1500000000000001</v>
      </c>
      <c r="O25" s="601">
        <f t="shared" si="15"/>
        <v>4.1500000000000004</v>
      </c>
      <c r="P25" s="602">
        <f>MROUND(1/$J25*IF(K25="Petrol",Aannames!$F$65,$E$297),0.05)</f>
        <v>1.25</v>
      </c>
      <c r="Q25" s="594">
        <f t="shared" si="16"/>
        <v>1.2000000000000002</v>
      </c>
      <c r="R25" s="600">
        <f t="shared" si="17"/>
        <v>0.45</v>
      </c>
      <c r="S25" s="601">
        <f t="shared" si="18"/>
        <v>2.9000000000000004</v>
      </c>
      <c r="T25" s="598">
        <f t="shared" si="19"/>
        <v>5.8000000000000007</v>
      </c>
      <c r="U25" s="599">
        <f t="shared" si="20"/>
        <v>7.0500000000000007</v>
      </c>
      <c r="V25" s="597"/>
      <c r="W25" s="603">
        <f t="shared" si="21"/>
        <v>3.6105000000000005E-2</v>
      </c>
      <c r="X25" s="594">
        <f t="shared" si="22"/>
        <v>0.17</v>
      </c>
      <c r="Y25" s="600">
        <f t="shared" si="23"/>
        <v>0.26561050000000003</v>
      </c>
      <c r="Z25" s="604">
        <f t="shared" si="24"/>
        <v>0.47171550000000007</v>
      </c>
      <c r="AA25" s="69"/>
      <c r="AB25" s="78" t="str">
        <f>Aannames!$C$198</f>
        <v>265  R 16</v>
      </c>
      <c r="AC25" s="772">
        <v>5</v>
      </c>
      <c r="AD25" s="80">
        <f t="shared" si="25"/>
        <v>3.4000000000000002E-2</v>
      </c>
    </row>
    <row r="26" spans="1:30">
      <c r="A26" s="310">
        <f t="shared" si="10"/>
        <v>26</v>
      </c>
      <c r="B26" s="69"/>
      <c r="C26" s="89"/>
      <c r="D26" s="2" t="s">
        <v>1373</v>
      </c>
      <c r="E26" s="678">
        <v>409995</v>
      </c>
      <c r="F26" s="12">
        <v>160000</v>
      </c>
      <c r="G26" s="12">
        <v>20000</v>
      </c>
      <c r="H26" s="12">
        <v>50</v>
      </c>
      <c r="I26" s="576">
        <v>9.9600000000000009</v>
      </c>
      <c r="J26" s="575">
        <f t="shared" si="11"/>
        <v>10.04016064257028</v>
      </c>
      <c r="K26" s="120" t="s">
        <v>147</v>
      </c>
      <c r="L26" s="594">
        <f t="shared" si="12"/>
        <v>2.3000000000000003</v>
      </c>
      <c r="M26" s="595">
        <f t="shared" si="13"/>
        <v>0.85000000000000009</v>
      </c>
      <c r="N26" s="600">
        <f t="shared" si="14"/>
        <v>1.2000000000000002</v>
      </c>
      <c r="O26" s="601">
        <f t="shared" si="15"/>
        <v>4.3500000000000005</v>
      </c>
      <c r="P26" s="602">
        <f>MROUND(1/$J26*IF(K26="Petrol",Aannames!$F$65,$E$297),0.05)</f>
        <v>1.25</v>
      </c>
      <c r="Q26" s="594">
        <f t="shared" si="16"/>
        <v>1.3</v>
      </c>
      <c r="R26" s="600">
        <f t="shared" si="17"/>
        <v>0.5</v>
      </c>
      <c r="S26" s="601">
        <f t="shared" si="18"/>
        <v>3.05</v>
      </c>
      <c r="T26" s="598">
        <f t="shared" si="19"/>
        <v>6.15</v>
      </c>
      <c r="U26" s="599">
        <f t="shared" si="20"/>
        <v>7.4</v>
      </c>
      <c r="V26" s="597"/>
      <c r="W26" s="603">
        <f t="shared" si="21"/>
        <v>3.6105000000000005E-2</v>
      </c>
      <c r="X26" s="594">
        <f t="shared" si="22"/>
        <v>0.17</v>
      </c>
      <c r="Y26" s="600">
        <f t="shared" si="23"/>
        <v>0.27561049999999998</v>
      </c>
      <c r="Z26" s="604">
        <f t="shared" si="24"/>
        <v>0.48171549999999996</v>
      </c>
      <c r="AA26" s="69"/>
      <c r="AB26" s="78" t="str">
        <f>Aannames!$C$198</f>
        <v>265  R 16</v>
      </c>
      <c r="AC26" s="772">
        <v>5</v>
      </c>
      <c r="AD26" s="80">
        <f t="shared" si="25"/>
        <v>3.4000000000000002E-2</v>
      </c>
    </row>
    <row r="27" spans="1:30">
      <c r="A27" s="310"/>
      <c r="B27" s="2"/>
      <c r="C27" s="89"/>
      <c r="D27" s="2"/>
      <c r="E27" s="678"/>
      <c r="F27" s="12"/>
      <c r="G27" s="12"/>
      <c r="H27" s="12"/>
      <c r="I27" s="576"/>
      <c r="J27" s="575"/>
      <c r="K27" s="120"/>
      <c r="L27" s="594"/>
      <c r="M27" s="595"/>
      <c r="N27" s="600"/>
      <c r="O27" s="601"/>
      <c r="P27" s="602"/>
      <c r="Q27" s="594"/>
      <c r="R27" s="600"/>
      <c r="S27" s="601"/>
      <c r="T27" s="598"/>
      <c r="U27" s="599"/>
      <c r="V27" s="597"/>
      <c r="W27" s="603"/>
      <c r="X27" s="594"/>
      <c r="Y27" s="600"/>
      <c r="Z27" s="604"/>
      <c r="AC27" s="772"/>
    </row>
    <row r="28" spans="1:30" ht="15.75">
      <c r="A28" s="310" t="str">
        <f t="shared" ref="A28:A42" si="26">IF(ISNUMBER(E28),ROW(),"")</f>
        <v/>
      </c>
      <c r="B28" s="793"/>
      <c r="C28" s="791" t="s">
        <v>1374</v>
      </c>
      <c r="E28" s="678"/>
      <c r="F28" s="12"/>
      <c r="G28" s="12"/>
      <c r="H28" s="12"/>
      <c r="I28" s="576"/>
      <c r="J28" s="575"/>
      <c r="K28" s="120"/>
      <c r="L28" s="594"/>
      <c r="M28" s="595"/>
      <c r="N28" s="600"/>
      <c r="O28" s="601"/>
      <c r="P28" s="602"/>
      <c r="Q28" s="594"/>
      <c r="R28" s="600"/>
      <c r="S28" s="601"/>
      <c r="T28" s="598"/>
      <c r="U28" s="599"/>
      <c r="V28" s="597"/>
      <c r="W28" s="603"/>
      <c r="X28" s="594"/>
      <c r="Y28" s="600"/>
      <c r="Z28" s="604"/>
      <c r="AC28" s="772"/>
    </row>
    <row r="29" spans="1:30">
      <c r="A29" s="310">
        <f t="shared" si="26"/>
        <v>29</v>
      </c>
      <c r="B29" s="793"/>
      <c r="C29" s="794"/>
      <c r="D29" s="153" t="s">
        <v>1375</v>
      </c>
      <c r="E29" s="678">
        <v>164900</v>
      </c>
      <c r="F29" s="12">
        <v>160000</v>
      </c>
      <c r="G29" s="12">
        <v>20000</v>
      </c>
      <c r="H29" s="12">
        <v>50</v>
      </c>
      <c r="I29" s="576">
        <v>11.9</v>
      </c>
      <c r="J29" s="575">
        <f t="shared" ref="J29:J42" si="27">100/I29</f>
        <v>8.4033613445378155</v>
      </c>
      <c r="K29" s="120" t="s">
        <v>1157</v>
      </c>
      <c r="L29" s="594">
        <f t="shared" ref="L29:L42" si="28">MROUND($E29*(1-$E$295/100)/F29,0.05)</f>
        <v>0.95000000000000007</v>
      </c>
      <c r="M29" s="595">
        <f t="shared" ref="M29:M42" si="29">MROUND($E29*(1+$E$295/100)/2*$F$304/100/$G29,0.05)</f>
        <v>0.35000000000000003</v>
      </c>
      <c r="N29" s="600">
        <f t="shared" ref="N29:N42" si="30">MROUND($E29*(1+$E$295/100)/2*$E$296/100/$G29,0.05)</f>
        <v>0.5</v>
      </c>
      <c r="O29" s="601">
        <f t="shared" ref="O29:O42" si="31">SUM(L29:N29)</f>
        <v>1.8</v>
      </c>
      <c r="P29" s="602">
        <f>MROUND(1/$J29*IF(K29="Petrol",Aannames!$F$65,$E$297),0.05)</f>
        <v>1.55</v>
      </c>
      <c r="Q29" s="594">
        <f t="shared" ref="Q29:Q42" si="32">MROUND($E29*$H29/100/$F29,0.05)</f>
        <v>0.5</v>
      </c>
      <c r="R29" s="600">
        <f t="shared" ref="R29:R42" si="33">MROUND(SUM(Z29),0.05)</f>
        <v>0.45</v>
      </c>
      <c r="S29" s="601">
        <f t="shared" ref="S29:S42" si="34">SUM(P29:R29)</f>
        <v>2.5</v>
      </c>
      <c r="T29" s="598">
        <f t="shared" ref="T29:T42" si="35">U29-P29</f>
        <v>2.75</v>
      </c>
      <c r="U29" s="599">
        <f t="shared" ref="U29:U42" si="36">S29+O29</f>
        <v>4.3</v>
      </c>
      <c r="V29" s="597"/>
      <c r="W29" s="603">
        <f t="shared" ref="W29:W42" si="37">1/$J29*$F$314/100*$K$300</f>
        <v>4.3137499999999995E-2</v>
      </c>
      <c r="X29" s="594">
        <f t="shared" ref="X29:X42" si="38">AC29*AD29</f>
        <v>0.17</v>
      </c>
      <c r="Y29" s="600">
        <f t="shared" ref="Y29:Y42" si="39">SUM(P29,Q29,W29,X29)*$F$308/100</f>
        <v>0.22631374999999995</v>
      </c>
      <c r="Z29" s="604">
        <f t="shared" ref="Z29:Z42" si="40">SUM(W29:Y29)</f>
        <v>0.43945124999999996</v>
      </c>
      <c r="AB29" s="78" t="str">
        <f>Aannames!$C$198</f>
        <v>265  R 16</v>
      </c>
      <c r="AC29" s="772">
        <v>5</v>
      </c>
      <c r="AD29" s="80">
        <f t="shared" ref="AD29:AD42" si="41">$I$320</f>
        <v>3.4000000000000002E-2</v>
      </c>
    </row>
    <row r="30" spans="1:30">
      <c r="A30" s="310">
        <f t="shared" si="26"/>
        <v>30</v>
      </c>
      <c r="B30" s="793"/>
      <c r="C30" s="794"/>
      <c r="D30" s="153" t="s">
        <v>1376</v>
      </c>
      <c r="E30" s="678">
        <v>179900</v>
      </c>
      <c r="F30" s="12">
        <v>160000</v>
      </c>
      <c r="G30" s="12">
        <v>20000</v>
      </c>
      <c r="H30" s="12">
        <v>50</v>
      </c>
      <c r="I30" s="576">
        <v>11.6</v>
      </c>
      <c r="J30" s="575">
        <f t="shared" si="27"/>
        <v>8.6206896551724146</v>
      </c>
      <c r="K30" s="120" t="s">
        <v>1157</v>
      </c>
      <c r="L30" s="594">
        <f t="shared" si="28"/>
        <v>1</v>
      </c>
      <c r="M30" s="595">
        <f t="shared" si="29"/>
        <v>0.35000000000000003</v>
      </c>
      <c r="N30" s="600">
        <f t="shared" si="30"/>
        <v>0.5</v>
      </c>
      <c r="O30" s="601">
        <f t="shared" si="31"/>
        <v>1.85</v>
      </c>
      <c r="P30" s="602">
        <f>MROUND(1/$J30*IF(K30="Petrol",Aannames!$F$65,$E$297),0.05)</f>
        <v>1.5</v>
      </c>
      <c r="Q30" s="594">
        <f t="shared" si="32"/>
        <v>0.55000000000000004</v>
      </c>
      <c r="R30" s="600">
        <f t="shared" si="33"/>
        <v>0.45</v>
      </c>
      <c r="S30" s="601">
        <f t="shared" si="34"/>
        <v>2.5</v>
      </c>
      <c r="T30" s="598">
        <f t="shared" si="35"/>
        <v>2.8499999999999996</v>
      </c>
      <c r="U30" s="599">
        <f t="shared" si="36"/>
        <v>4.3499999999999996</v>
      </c>
      <c r="V30" s="597"/>
      <c r="W30" s="603">
        <f t="shared" si="37"/>
        <v>4.2049999999999997E-2</v>
      </c>
      <c r="X30" s="594">
        <f t="shared" si="38"/>
        <v>0.17</v>
      </c>
      <c r="Y30" s="600">
        <f t="shared" si="39"/>
        <v>0.22620499999999999</v>
      </c>
      <c r="Z30" s="604">
        <f t="shared" si="40"/>
        <v>0.43825500000000001</v>
      </c>
      <c r="AB30" s="78" t="str">
        <f>Aannames!$C$198</f>
        <v>265  R 16</v>
      </c>
      <c r="AC30" s="772">
        <v>5</v>
      </c>
      <c r="AD30" s="80">
        <f t="shared" si="41"/>
        <v>3.4000000000000002E-2</v>
      </c>
    </row>
    <row r="31" spans="1:30">
      <c r="A31" s="310">
        <f t="shared" si="26"/>
        <v>31</v>
      </c>
      <c r="B31" s="793"/>
      <c r="C31" s="794"/>
      <c r="D31" s="153" t="s">
        <v>1377</v>
      </c>
      <c r="E31" s="678">
        <v>199900</v>
      </c>
      <c r="F31" s="12">
        <v>160000</v>
      </c>
      <c r="G31" s="12">
        <v>20000</v>
      </c>
      <c r="H31" s="12">
        <v>50</v>
      </c>
      <c r="I31" s="576">
        <v>9.6999999999999993</v>
      </c>
      <c r="J31" s="575">
        <f t="shared" si="27"/>
        <v>10.309278350515465</v>
      </c>
      <c r="K31" s="120" t="s">
        <v>147</v>
      </c>
      <c r="L31" s="594">
        <f t="shared" si="28"/>
        <v>1.1000000000000001</v>
      </c>
      <c r="M31" s="595">
        <f t="shared" si="29"/>
        <v>0.4</v>
      </c>
      <c r="N31" s="600">
        <f t="shared" si="30"/>
        <v>0.60000000000000009</v>
      </c>
      <c r="O31" s="601">
        <f t="shared" si="31"/>
        <v>2.1</v>
      </c>
      <c r="P31" s="602">
        <f>MROUND(1/$J31*IF(K31="Petrol",Aannames!$F$65,$E$297),0.05)</f>
        <v>1.2000000000000002</v>
      </c>
      <c r="Q31" s="594">
        <f t="shared" si="32"/>
        <v>0.60000000000000009</v>
      </c>
      <c r="R31" s="600">
        <f t="shared" si="33"/>
        <v>0.4</v>
      </c>
      <c r="S31" s="601">
        <f t="shared" si="34"/>
        <v>2.2000000000000002</v>
      </c>
      <c r="T31" s="598">
        <f t="shared" si="35"/>
        <v>3.1000000000000005</v>
      </c>
      <c r="U31" s="599">
        <f t="shared" si="36"/>
        <v>4.3000000000000007</v>
      </c>
      <c r="V31" s="597"/>
      <c r="W31" s="603">
        <f t="shared" si="37"/>
        <v>3.5162499999999999E-2</v>
      </c>
      <c r="X31" s="594">
        <f t="shared" si="38"/>
        <v>0.17</v>
      </c>
      <c r="Y31" s="600">
        <f t="shared" si="39"/>
        <v>0.20051625000000006</v>
      </c>
      <c r="Z31" s="604">
        <f t="shared" si="40"/>
        <v>0.40567875000000009</v>
      </c>
      <c r="AB31" s="78" t="str">
        <f>Aannames!$C$198</f>
        <v>265  R 16</v>
      </c>
      <c r="AC31" s="772">
        <v>5</v>
      </c>
      <c r="AD31" s="80">
        <f t="shared" si="41"/>
        <v>3.4000000000000002E-2</v>
      </c>
    </row>
    <row r="32" spans="1:30">
      <c r="A32" s="310">
        <f t="shared" si="26"/>
        <v>32</v>
      </c>
      <c r="B32" s="793"/>
      <c r="C32" s="794"/>
      <c r="D32" s="153" t="s">
        <v>1378</v>
      </c>
      <c r="E32" s="678">
        <v>249900</v>
      </c>
      <c r="F32" s="12">
        <v>160000</v>
      </c>
      <c r="G32" s="12">
        <v>20000</v>
      </c>
      <c r="H32" s="12">
        <v>50</v>
      </c>
      <c r="I32" s="576">
        <v>10</v>
      </c>
      <c r="J32" s="575">
        <f t="shared" si="27"/>
        <v>10</v>
      </c>
      <c r="K32" s="120" t="s">
        <v>147</v>
      </c>
      <c r="L32" s="594">
        <f t="shared" si="28"/>
        <v>1.4000000000000001</v>
      </c>
      <c r="M32" s="595">
        <f t="shared" si="29"/>
        <v>0.5</v>
      </c>
      <c r="N32" s="600">
        <f t="shared" si="30"/>
        <v>0.70000000000000007</v>
      </c>
      <c r="O32" s="601">
        <f t="shared" si="31"/>
        <v>2.6</v>
      </c>
      <c r="P32" s="602">
        <f>MROUND(1/$J32*IF(K32="Petrol",Aannames!$F$65,$E$297),0.05)</f>
        <v>1.25</v>
      </c>
      <c r="Q32" s="594">
        <f t="shared" si="32"/>
        <v>0.8</v>
      </c>
      <c r="R32" s="600">
        <f t="shared" si="33"/>
        <v>0.45</v>
      </c>
      <c r="S32" s="601">
        <f t="shared" si="34"/>
        <v>2.5</v>
      </c>
      <c r="T32" s="598">
        <f t="shared" si="35"/>
        <v>3.8499999999999996</v>
      </c>
      <c r="U32" s="599">
        <f t="shared" si="36"/>
        <v>5.0999999999999996</v>
      </c>
      <c r="V32" s="597"/>
      <c r="W32" s="603">
        <f t="shared" si="37"/>
        <v>3.6249999999999998E-2</v>
      </c>
      <c r="X32" s="594">
        <f t="shared" si="38"/>
        <v>0.17</v>
      </c>
      <c r="Y32" s="600">
        <f t="shared" si="39"/>
        <v>0.22562499999999996</v>
      </c>
      <c r="Z32" s="604">
        <f t="shared" si="40"/>
        <v>0.43187500000000001</v>
      </c>
      <c r="AB32" s="78" t="str">
        <f>Aannames!$C$198</f>
        <v>265  R 16</v>
      </c>
      <c r="AC32" s="772">
        <v>5</v>
      </c>
      <c r="AD32" s="80">
        <f t="shared" si="41"/>
        <v>3.4000000000000002E-2</v>
      </c>
    </row>
    <row r="33" spans="1:30">
      <c r="A33" s="310">
        <f t="shared" si="26"/>
        <v>33</v>
      </c>
      <c r="B33" s="793"/>
      <c r="C33" s="794"/>
      <c r="D33" s="153" t="s">
        <v>1379</v>
      </c>
      <c r="E33" s="678">
        <v>189900</v>
      </c>
      <c r="F33" s="12">
        <v>160000</v>
      </c>
      <c r="G33" s="12">
        <v>20000</v>
      </c>
      <c r="H33" s="12">
        <v>50</v>
      </c>
      <c r="I33" s="576">
        <v>11.9</v>
      </c>
      <c r="J33" s="575">
        <f t="shared" si="27"/>
        <v>8.4033613445378155</v>
      </c>
      <c r="K33" s="120" t="s">
        <v>1157</v>
      </c>
      <c r="L33" s="594">
        <f t="shared" si="28"/>
        <v>1.05</v>
      </c>
      <c r="M33" s="595">
        <f t="shared" si="29"/>
        <v>0.4</v>
      </c>
      <c r="N33" s="600">
        <f t="shared" si="30"/>
        <v>0.55000000000000004</v>
      </c>
      <c r="O33" s="601">
        <f t="shared" si="31"/>
        <v>2</v>
      </c>
      <c r="P33" s="602">
        <f>MROUND(1/$J33*IF(K33="Petrol",Aannames!$F$65,$E$297),0.05)</f>
        <v>1.55</v>
      </c>
      <c r="Q33" s="594">
        <f t="shared" si="32"/>
        <v>0.60000000000000009</v>
      </c>
      <c r="R33" s="600">
        <f t="shared" si="33"/>
        <v>0.45</v>
      </c>
      <c r="S33" s="601">
        <f t="shared" si="34"/>
        <v>2.6000000000000005</v>
      </c>
      <c r="T33" s="598">
        <f t="shared" si="35"/>
        <v>3.0500000000000007</v>
      </c>
      <c r="U33" s="599">
        <f t="shared" si="36"/>
        <v>4.6000000000000005</v>
      </c>
      <c r="V33" s="597"/>
      <c r="W33" s="603">
        <f t="shared" si="37"/>
        <v>4.3137499999999995E-2</v>
      </c>
      <c r="X33" s="594">
        <f t="shared" si="38"/>
        <v>0.17</v>
      </c>
      <c r="Y33" s="600">
        <f t="shared" si="39"/>
        <v>0.23631375000000002</v>
      </c>
      <c r="Z33" s="604">
        <f t="shared" si="40"/>
        <v>0.44945125000000002</v>
      </c>
      <c r="AB33" s="78" t="str">
        <f>Aannames!$C$198</f>
        <v>265  R 16</v>
      </c>
      <c r="AC33" s="772">
        <v>5</v>
      </c>
      <c r="AD33" s="80">
        <f t="shared" si="41"/>
        <v>3.4000000000000002E-2</v>
      </c>
    </row>
    <row r="34" spans="1:30">
      <c r="A34" s="310">
        <f t="shared" si="26"/>
        <v>34</v>
      </c>
      <c r="B34" s="793"/>
      <c r="C34" s="794"/>
      <c r="D34" s="153" t="s">
        <v>1380</v>
      </c>
      <c r="E34" s="678">
        <v>204900</v>
      </c>
      <c r="F34" s="12">
        <v>160000</v>
      </c>
      <c r="G34" s="12">
        <v>20000</v>
      </c>
      <c r="H34" s="12">
        <v>50</v>
      </c>
      <c r="I34" s="576">
        <v>11.9</v>
      </c>
      <c r="J34" s="575">
        <f t="shared" si="27"/>
        <v>8.4033613445378155</v>
      </c>
      <c r="K34" s="120" t="s">
        <v>1157</v>
      </c>
      <c r="L34" s="594">
        <f t="shared" si="28"/>
        <v>1.1500000000000001</v>
      </c>
      <c r="M34" s="595">
        <f t="shared" si="29"/>
        <v>0.4</v>
      </c>
      <c r="N34" s="600">
        <f t="shared" si="30"/>
        <v>0.60000000000000009</v>
      </c>
      <c r="O34" s="601">
        <f t="shared" si="31"/>
        <v>2.1500000000000004</v>
      </c>
      <c r="P34" s="602">
        <f>MROUND(1/$J34*IF(K34="Petrol",Aannames!$F$65,$E$297),0.05)</f>
        <v>1.55</v>
      </c>
      <c r="Q34" s="594">
        <f t="shared" si="32"/>
        <v>0.65</v>
      </c>
      <c r="R34" s="600">
        <f t="shared" si="33"/>
        <v>0.45</v>
      </c>
      <c r="S34" s="601">
        <f t="shared" si="34"/>
        <v>2.6500000000000004</v>
      </c>
      <c r="T34" s="598">
        <f t="shared" si="35"/>
        <v>3.2500000000000009</v>
      </c>
      <c r="U34" s="599">
        <f t="shared" si="36"/>
        <v>4.8000000000000007</v>
      </c>
      <c r="V34" s="597"/>
      <c r="W34" s="603">
        <f t="shared" si="37"/>
        <v>4.3137499999999995E-2</v>
      </c>
      <c r="X34" s="594">
        <f t="shared" si="38"/>
        <v>0.17</v>
      </c>
      <c r="Y34" s="600">
        <f t="shared" si="39"/>
        <v>0.24131374999999999</v>
      </c>
      <c r="Z34" s="604">
        <f t="shared" si="40"/>
        <v>0.45445124999999997</v>
      </c>
      <c r="AB34" s="78" t="str">
        <f>Aannames!$C$198</f>
        <v>265  R 16</v>
      </c>
      <c r="AC34" s="772">
        <v>5</v>
      </c>
      <c r="AD34" s="80">
        <f t="shared" si="41"/>
        <v>3.4000000000000002E-2</v>
      </c>
    </row>
    <row r="35" spans="1:30">
      <c r="A35" s="310">
        <f t="shared" si="26"/>
        <v>35</v>
      </c>
      <c r="B35" s="793"/>
      <c r="C35" s="794"/>
      <c r="D35" s="2" t="s">
        <v>1381</v>
      </c>
      <c r="E35" s="678">
        <v>249900</v>
      </c>
      <c r="F35" s="12">
        <v>160000</v>
      </c>
      <c r="G35" s="12">
        <v>20000</v>
      </c>
      <c r="H35" s="12">
        <v>50</v>
      </c>
      <c r="I35" s="576">
        <v>10</v>
      </c>
      <c r="J35" s="575">
        <f t="shared" si="27"/>
        <v>10</v>
      </c>
      <c r="K35" s="797" t="s">
        <v>147</v>
      </c>
      <c r="L35" s="594">
        <f t="shared" si="28"/>
        <v>1.4000000000000001</v>
      </c>
      <c r="M35" s="595">
        <f t="shared" si="29"/>
        <v>0.5</v>
      </c>
      <c r="N35" s="600">
        <f t="shared" si="30"/>
        <v>0.70000000000000007</v>
      </c>
      <c r="O35" s="601">
        <f t="shared" si="31"/>
        <v>2.6</v>
      </c>
      <c r="P35" s="602">
        <f>MROUND(1/$J35*IF(K35="Petrol",Aannames!$F$65,$E$297),0.05)</f>
        <v>1.25</v>
      </c>
      <c r="Q35" s="594">
        <f t="shared" si="32"/>
        <v>0.8</v>
      </c>
      <c r="R35" s="600">
        <f t="shared" si="33"/>
        <v>0.45</v>
      </c>
      <c r="S35" s="601">
        <f t="shared" si="34"/>
        <v>2.5</v>
      </c>
      <c r="T35" s="598">
        <f t="shared" si="35"/>
        <v>3.8499999999999996</v>
      </c>
      <c r="U35" s="599">
        <f t="shared" si="36"/>
        <v>5.0999999999999996</v>
      </c>
      <c r="V35" s="597"/>
      <c r="W35" s="603">
        <f t="shared" si="37"/>
        <v>3.6249999999999998E-2</v>
      </c>
      <c r="X35" s="594">
        <f t="shared" si="38"/>
        <v>0.17</v>
      </c>
      <c r="Y35" s="600">
        <f t="shared" si="39"/>
        <v>0.22562499999999996</v>
      </c>
      <c r="Z35" s="604">
        <f t="shared" si="40"/>
        <v>0.43187500000000001</v>
      </c>
      <c r="AA35" s="69"/>
      <c r="AB35" s="78" t="str">
        <f>Aannames!$C$198</f>
        <v>265  R 16</v>
      </c>
      <c r="AC35" s="772">
        <v>5</v>
      </c>
      <c r="AD35" s="80">
        <f t="shared" si="41"/>
        <v>3.4000000000000002E-2</v>
      </c>
    </row>
    <row r="36" spans="1:30">
      <c r="A36" s="310">
        <f t="shared" si="26"/>
        <v>36</v>
      </c>
      <c r="B36" s="69"/>
      <c r="C36" s="89"/>
      <c r="D36" s="2" t="s">
        <v>1382</v>
      </c>
      <c r="E36" s="678">
        <v>279900</v>
      </c>
      <c r="F36" s="12">
        <v>160000</v>
      </c>
      <c r="G36" s="12">
        <v>20000</v>
      </c>
      <c r="H36" s="12">
        <v>50</v>
      </c>
      <c r="I36" s="576">
        <v>10</v>
      </c>
      <c r="J36" s="575">
        <f t="shared" si="27"/>
        <v>10</v>
      </c>
      <c r="K36" s="120" t="s">
        <v>147</v>
      </c>
      <c r="L36" s="594">
        <f t="shared" si="28"/>
        <v>1.55</v>
      </c>
      <c r="M36" s="595">
        <f t="shared" si="29"/>
        <v>0.60000000000000009</v>
      </c>
      <c r="N36" s="600">
        <f t="shared" si="30"/>
        <v>0.8</v>
      </c>
      <c r="O36" s="601">
        <f t="shared" si="31"/>
        <v>2.95</v>
      </c>
      <c r="P36" s="602">
        <f>MROUND(1/$J36*IF(K36="Petrol",Aannames!$F$65,$E$297),0.05)</f>
        <v>1.25</v>
      </c>
      <c r="Q36" s="594">
        <f t="shared" si="32"/>
        <v>0.85000000000000009</v>
      </c>
      <c r="R36" s="600">
        <f t="shared" si="33"/>
        <v>0.45</v>
      </c>
      <c r="S36" s="601">
        <f t="shared" si="34"/>
        <v>2.5500000000000003</v>
      </c>
      <c r="T36" s="598">
        <f t="shared" si="35"/>
        <v>4.25</v>
      </c>
      <c r="U36" s="599">
        <f t="shared" si="36"/>
        <v>5.5</v>
      </c>
      <c r="V36" s="597"/>
      <c r="W36" s="603">
        <f t="shared" si="37"/>
        <v>3.6249999999999998E-2</v>
      </c>
      <c r="X36" s="594">
        <f t="shared" si="38"/>
        <v>0.17</v>
      </c>
      <c r="Y36" s="600">
        <f t="shared" si="39"/>
        <v>0.230625</v>
      </c>
      <c r="Z36" s="604">
        <f t="shared" si="40"/>
        <v>0.43687500000000001</v>
      </c>
      <c r="AA36" s="69"/>
      <c r="AB36" s="78" t="str">
        <f>Aannames!$C$198</f>
        <v>265  R 16</v>
      </c>
      <c r="AC36" s="772">
        <v>5</v>
      </c>
      <c r="AD36" s="80">
        <f t="shared" si="41"/>
        <v>3.4000000000000002E-2</v>
      </c>
    </row>
    <row r="37" spans="1:30" ht="15.75">
      <c r="A37" s="310">
        <f t="shared" si="26"/>
        <v>37</v>
      </c>
      <c r="B37" s="90"/>
      <c r="C37" s="791"/>
      <c r="D37" s="5" t="s">
        <v>1383</v>
      </c>
      <c r="E37" s="678">
        <v>234900</v>
      </c>
      <c r="F37" s="12">
        <v>160000</v>
      </c>
      <c r="G37" s="12">
        <v>20000</v>
      </c>
      <c r="H37" s="12">
        <v>50</v>
      </c>
      <c r="I37" s="576">
        <v>12.8</v>
      </c>
      <c r="J37" s="575">
        <f t="shared" si="27"/>
        <v>7.8125</v>
      </c>
      <c r="K37" s="120" t="s">
        <v>1157</v>
      </c>
      <c r="L37" s="594">
        <f t="shared" si="28"/>
        <v>1.3</v>
      </c>
      <c r="M37" s="595">
        <f t="shared" si="29"/>
        <v>0.5</v>
      </c>
      <c r="N37" s="600">
        <f t="shared" si="30"/>
        <v>0.70000000000000007</v>
      </c>
      <c r="O37" s="601">
        <f t="shared" si="31"/>
        <v>2.5</v>
      </c>
      <c r="P37" s="602">
        <f>MROUND(1/$J37*IF(K37="Petrol",Aannames!$F$65,$E$297),0.05)</f>
        <v>1.6500000000000001</v>
      </c>
      <c r="Q37" s="594">
        <f t="shared" si="32"/>
        <v>0.75</v>
      </c>
      <c r="R37" s="600">
        <f t="shared" si="33"/>
        <v>0.5</v>
      </c>
      <c r="S37" s="601">
        <f t="shared" si="34"/>
        <v>2.9000000000000004</v>
      </c>
      <c r="T37" s="598">
        <f t="shared" si="35"/>
        <v>3.75</v>
      </c>
      <c r="U37" s="599">
        <f t="shared" si="36"/>
        <v>5.4</v>
      </c>
      <c r="V37" s="597"/>
      <c r="W37" s="603">
        <f t="shared" si="37"/>
        <v>4.6400000000000004E-2</v>
      </c>
      <c r="X37" s="594">
        <f t="shared" si="38"/>
        <v>0.17</v>
      </c>
      <c r="Y37" s="600">
        <f t="shared" si="39"/>
        <v>0.26164000000000004</v>
      </c>
      <c r="Z37" s="604">
        <f t="shared" si="40"/>
        <v>0.47804000000000002</v>
      </c>
      <c r="AA37" s="69"/>
      <c r="AB37" s="78" t="str">
        <f>Aannames!$C$198</f>
        <v>265  R 16</v>
      </c>
      <c r="AC37" s="772">
        <v>5</v>
      </c>
      <c r="AD37" s="80">
        <f t="shared" si="41"/>
        <v>3.4000000000000002E-2</v>
      </c>
    </row>
    <row r="38" spans="1:30">
      <c r="A38" s="310">
        <f t="shared" si="26"/>
        <v>38</v>
      </c>
      <c r="B38" s="90"/>
      <c r="C38" s="794"/>
      <c r="D38" s="153" t="s">
        <v>1384</v>
      </c>
      <c r="E38" s="678">
        <v>256900</v>
      </c>
      <c r="F38" s="12">
        <v>160000</v>
      </c>
      <c r="G38" s="12">
        <v>20000</v>
      </c>
      <c r="H38" s="12">
        <v>50</v>
      </c>
      <c r="I38" s="576">
        <v>12.8</v>
      </c>
      <c r="J38" s="575">
        <f t="shared" si="27"/>
        <v>7.8125</v>
      </c>
      <c r="K38" s="120" t="s">
        <v>1157</v>
      </c>
      <c r="L38" s="594">
        <f t="shared" si="28"/>
        <v>1.4500000000000002</v>
      </c>
      <c r="M38" s="595">
        <f t="shared" si="29"/>
        <v>0.55000000000000004</v>
      </c>
      <c r="N38" s="600">
        <f t="shared" si="30"/>
        <v>0.75</v>
      </c>
      <c r="O38" s="601">
        <f t="shared" si="31"/>
        <v>2.75</v>
      </c>
      <c r="P38" s="602">
        <f>MROUND(1/$J38*IF(K38="Petrol",Aannames!$F$65,$E$297),0.05)</f>
        <v>1.6500000000000001</v>
      </c>
      <c r="Q38" s="594">
        <f t="shared" si="32"/>
        <v>0.8</v>
      </c>
      <c r="R38" s="600">
        <f t="shared" si="33"/>
        <v>0.5</v>
      </c>
      <c r="S38" s="601">
        <f t="shared" si="34"/>
        <v>2.95</v>
      </c>
      <c r="T38" s="598">
        <f t="shared" si="35"/>
        <v>4.05</v>
      </c>
      <c r="U38" s="599">
        <f t="shared" si="36"/>
        <v>5.7</v>
      </c>
      <c r="V38" s="597"/>
      <c r="W38" s="603">
        <f t="shared" si="37"/>
        <v>4.6400000000000004E-2</v>
      </c>
      <c r="X38" s="594">
        <f t="shared" si="38"/>
        <v>0.17</v>
      </c>
      <c r="Y38" s="600">
        <f t="shared" si="39"/>
        <v>0.26663999999999999</v>
      </c>
      <c r="Z38" s="604">
        <f t="shared" si="40"/>
        <v>0.48304000000000002</v>
      </c>
      <c r="AB38" s="78" t="str">
        <f>Aannames!$C$198</f>
        <v>265  R 16</v>
      </c>
      <c r="AC38" s="772">
        <v>5</v>
      </c>
      <c r="AD38" s="80">
        <f t="shared" si="41"/>
        <v>3.4000000000000002E-2</v>
      </c>
    </row>
    <row r="39" spans="1:30">
      <c r="A39" s="310">
        <f t="shared" si="26"/>
        <v>39</v>
      </c>
      <c r="B39" s="90"/>
      <c r="C39" s="794"/>
      <c r="D39" s="153" t="s">
        <v>1385</v>
      </c>
      <c r="E39" s="678">
        <v>269900</v>
      </c>
      <c r="F39" s="12">
        <v>160000</v>
      </c>
      <c r="G39" s="12">
        <v>20000</v>
      </c>
      <c r="H39" s="12">
        <v>50</v>
      </c>
      <c r="I39" s="576">
        <v>10</v>
      </c>
      <c r="J39" s="575">
        <f t="shared" si="27"/>
        <v>10</v>
      </c>
      <c r="K39" s="120" t="s">
        <v>147</v>
      </c>
      <c r="L39" s="594">
        <f t="shared" si="28"/>
        <v>1.5</v>
      </c>
      <c r="M39" s="595">
        <f t="shared" si="29"/>
        <v>0.55000000000000004</v>
      </c>
      <c r="N39" s="600">
        <f t="shared" si="30"/>
        <v>0.8</v>
      </c>
      <c r="O39" s="601">
        <f t="shared" si="31"/>
        <v>2.8499999999999996</v>
      </c>
      <c r="P39" s="602">
        <f>MROUND(1/$J39*IF(K39="Petrol",Aannames!$F$65,$E$297),0.05)</f>
        <v>1.25</v>
      </c>
      <c r="Q39" s="594">
        <f t="shared" si="32"/>
        <v>0.85000000000000009</v>
      </c>
      <c r="R39" s="600">
        <f t="shared" si="33"/>
        <v>0.45</v>
      </c>
      <c r="S39" s="601">
        <f t="shared" si="34"/>
        <v>2.5500000000000003</v>
      </c>
      <c r="T39" s="598">
        <f t="shared" si="35"/>
        <v>4.1500000000000004</v>
      </c>
      <c r="U39" s="599">
        <f t="shared" si="36"/>
        <v>5.4</v>
      </c>
      <c r="V39" s="597"/>
      <c r="W39" s="603">
        <f t="shared" si="37"/>
        <v>3.6249999999999998E-2</v>
      </c>
      <c r="X39" s="594">
        <f t="shared" si="38"/>
        <v>0.17</v>
      </c>
      <c r="Y39" s="600">
        <f t="shared" si="39"/>
        <v>0.230625</v>
      </c>
      <c r="Z39" s="604">
        <f t="shared" si="40"/>
        <v>0.43687500000000001</v>
      </c>
      <c r="AB39" s="78" t="str">
        <f>Aannames!$C$198</f>
        <v>265  R 16</v>
      </c>
      <c r="AC39" s="772">
        <v>5</v>
      </c>
      <c r="AD39" s="80">
        <f t="shared" si="41"/>
        <v>3.4000000000000002E-2</v>
      </c>
    </row>
    <row r="40" spans="1:30">
      <c r="A40" s="310">
        <f t="shared" si="26"/>
        <v>40</v>
      </c>
      <c r="B40" s="2"/>
      <c r="C40" s="889"/>
      <c r="D40" s="153" t="s">
        <v>1386</v>
      </c>
      <c r="E40" s="678">
        <v>289900</v>
      </c>
      <c r="F40" s="12">
        <v>160000</v>
      </c>
      <c r="G40" s="12">
        <v>20000</v>
      </c>
      <c r="H40" s="12">
        <v>50</v>
      </c>
      <c r="I40" s="576">
        <v>10</v>
      </c>
      <c r="J40" s="575">
        <f t="shared" si="27"/>
        <v>10</v>
      </c>
      <c r="K40" s="120" t="s">
        <v>147</v>
      </c>
      <c r="L40" s="594">
        <f t="shared" si="28"/>
        <v>1.6500000000000001</v>
      </c>
      <c r="M40" s="595">
        <f t="shared" si="29"/>
        <v>0.60000000000000009</v>
      </c>
      <c r="N40" s="600">
        <f t="shared" si="30"/>
        <v>0.85000000000000009</v>
      </c>
      <c r="O40" s="601">
        <f t="shared" si="31"/>
        <v>3.1</v>
      </c>
      <c r="P40" s="602">
        <f>MROUND(1/$J40*IF(K40="Petrol",Aannames!$F$65,$E$297),0.05)</f>
        <v>1.25</v>
      </c>
      <c r="Q40" s="594">
        <f t="shared" si="32"/>
        <v>0.9</v>
      </c>
      <c r="R40" s="600">
        <f t="shared" si="33"/>
        <v>0.45</v>
      </c>
      <c r="S40" s="601">
        <f t="shared" si="34"/>
        <v>2.6</v>
      </c>
      <c r="T40" s="598">
        <f t="shared" si="35"/>
        <v>4.45</v>
      </c>
      <c r="U40" s="599">
        <f t="shared" si="36"/>
        <v>5.7</v>
      </c>
      <c r="V40" s="597"/>
      <c r="W40" s="603">
        <f t="shared" si="37"/>
        <v>3.6249999999999998E-2</v>
      </c>
      <c r="X40" s="594">
        <f t="shared" si="38"/>
        <v>0.17</v>
      </c>
      <c r="Y40" s="600">
        <f t="shared" si="39"/>
        <v>0.23562499999999997</v>
      </c>
      <c r="Z40" s="604">
        <f t="shared" si="40"/>
        <v>0.44187500000000002</v>
      </c>
      <c r="AB40" s="78" t="str">
        <f>Aannames!$C$198</f>
        <v>265  R 16</v>
      </c>
      <c r="AC40" s="772">
        <v>5</v>
      </c>
      <c r="AD40" s="80">
        <f t="shared" si="41"/>
        <v>3.4000000000000002E-2</v>
      </c>
    </row>
    <row r="41" spans="1:30">
      <c r="A41" s="310">
        <f t="shared" si="26"/>
        <v>41</v>
      </c>
      <c r="B41" s="2"/>
      <c r="C41" s="889"/>
      <c r="D41" s="153" t="s">
        <v>1387</v>
      </c>
      <c r="E41" s="678">
        <v>299900</v>
      </c>
      <c r="F41" s="12">
        <v>160000</v>
      </c>
      <c r="G41" s="12">
        <v>20000</v>
      </c>
      <c r="H41" s="12">
        <v>50</v>
      </c>
      <c r="I41" s="576">
        <v>10.6</v>
      </c>
      <c r="J41" s="575">
        <f t="shared" si="27"/>
        <v>9.433962264150944</v>
      </c>
      <c r="K41" s="120" t="s">
        <v>147</v>
      </c>
      <c r="L41" s="594">
        <f t="shared" si="28"/>
        <v>1.7000000000000002</v>
      </c>
      <c r="M41" s="595">
        <f t="shared" si="29"/>
        <v>0.60000000000000009</v>
      </c>
      <c r="N41" s="600">
        <f t="shared" si="30"/>
        <v>0.85000000000000009</v>
      </c>
      <c r="O41" s="601">
        <f t="shared" si="31"/>
        <v>3.1500000000000004</v>
      </c>
      <c r="P41" s="602">
        <f>MROUND(1/$J41*IF(K41="Petrol",Aannames!$F$65,$E$297),0.05)</f>
        <v>1.3</v>
      </c>
      <c r="Q41" s="594">
        <f t="shared" si="32"/>
        <v>0.95000000000000007</v>
      </c>
      <c r="R41" s="600">
        <f t="shared" si="33"/>
        <v>0.45</v>
      </c>
      <c r="S41" s="601">
        <f t="shared" si="34"/>
        <v>2.7</v>
      </c>
      <c r="T41" s="598">
        <f t="shared" si="35"/>
        <v>4.5500000000000007</v>
      </c>
      <c r="U41" s="599">
        <f t="shared" si="36"/>
        <v>5.8500000000000005</v>
      </c>
      <c r="V41" s="597"/>
      <c r="W41" s="603">
        <f t="shared" si="37"/>
        <v>3.8425000000000001E-2</v>
      </c>
      <c r="X41" s="594">
        <f t="shared" si="38"/>
        <v>0.17</v>
      </c>
      <c r="Y41" s="600">
        <f t="shared" si="39"/>
        <v>0.24584250000000002</v>
      </c>
      <c r="Z41" s="604">
        <f t="shared" si="40"/>
        <v>0.45426750000000005</v>
      </c>
      <c r="AB41" s="78" t="str">
        <f>Aannames!$C$198</f>
        <v>265  R 16</v>
      </c>
      <c r="AC41" s="772">
        <v>5</v>
      </c>
      <c r="AD41" s="80">
        <f t="shared" si="41"/>
        <v>3.4000000000000002E-2</v>
      </c>
    </row>
    <row r="42" spans="1:30">
      <c r="A42" s="310">
        <f t="shared" si="26"/>
        <v>42</v>
      </c>
      <c r="B42" s="2"/>
      <c r="C42" s="89"/>
      <c r="D42" s="2" t="s">
        <v>1388</v>
      </c>
      <c r="E42" s="678">
        <v>329900</v>
      </c>
      <c r="F42" s="12">
        <v>160000</v>
      </c>
      <c r="G42" s="12">
        <v>20000</v>
      </c>
      <c r="H42" s="12">
        <v>50</v>
      </c>
      <c r="I42" s="576">
        <v>10.6</v>
      </c>
      <c r="J42" s="575">
        <f t="shared" si="27"/>
        <v>9.433962264150944</v>
      </c>
      <c r="K42" s="120" t="s">
        <v>147</v>
      </c>
      <c r="L42" s="594">
        <f t="shared" si="28"/>
        <v>1.85</v>
      </c>
      <c r="M42" s="595">
        <f t="shared" si="29"/>
        <v>0.70000000000000007</v>
      </c>
      <c r="N42" s="600">
        <f t="shared" si="30"/>
        <v>0.95000000000000007</v>
      </c>
      <c r="O42" s="601">
        <f t="shared" si="31"/>
        <v>3.5000000000000004</v>
      </c>
      <c r="P42" s="602">
        <f>MROUND(1/$J42*IF(K42="Petrol",Aannames!$F$65,$E$297),0.05)</f>
        <v>1.3</v>
      </c>
      <c r="Q42" s="594">
        <f t="shared" si="32"/>
        <v>1.05</v>
      </c>
      <c r="R42" s="600">
        <f t="shared" si="33"/>
        <v>0.45</v>
      </c>
      <c r="S42" s="601">
        <f t="shared" si="34"/>
        <v>2.8000000000000003</v>
      </c>
      <c r="T42" s="598">
        <f t="shared" si="35"/>
        <v>5.0000000000000009</v>
      </c>
      <c r="U42" s="599">
        <f t="shared" si="36"/>
        <v>6.3000000000000007</v>
      </c>
      <c r="V42" s="597"/>
      <c r="W42" s="603">
        <f t="shared" si="37"/>
        <v>3.8425000000000001E-2</v>
      </c>
      <c r="X42" s="594">
        <f t="shared" si="38"/>
        <v>0.17</v>
      </c>
      <c r="Y42" s="600">
        <f t="shared" si="39"/>
        <v>0.25584250000000003</v>
      </c>
      <c r="Z42" s="604">
        <f t="shared" si="40"/>
        <v>0.46426750000000006</v>
      </c>
      <c r="AB42" s="78" t="str">
        <f>Aannames!$C$198</f>
        <v>265  R 16</v>
      </c>
      <c r="AC42" s="772">
        <v>5</v>
      </c>
      <c r="AD42" s="80">
        <f t="shared" si="41"/>
        <v>3.4000000000000002E-2</v>
      </c>
    </row>
    <row r="43" spans="1:30" ht="6.75" customHeight="1">
      <c r="A43" s="310" t="str">
        <f>IF(ISNUMBER(E43),ROW(),"")</f>
        <v/>
      </c>
      <c r="C43" s="87"/>
      <c r="D43" s="88"/>
      <c r="E43" s="563"/>
      <c r="F43" s="35"/>
      <c r="G43" s="35"/>
      <c r="H43" s="35"/>
      <c r="I43" s="577"/>
      <c r="J43" s="577"/>
      <c r="K43" s="121"/>
      <c r="L43" s="605"/>
      <c r="M43" s="606"/>
      <c r="N43" s="605"/>
      <c r="O43" s="607"/>
      <c r="P43" s="845"/>
      <c r="Q43" s="605"/>
      <c r="R43" s="605"/>
      <c r="S43" s="607"/>
      <c r="T43" s="608"/>
      <c r="U43" s="609"/>
      <c r="V43" s="597"/>
      <c r="W43" s="610"/>
      <c r="X43" s="611"/>
      <c r="Y43" s="612"/>
      <c r="Z43" s="613"/>
      <c r="AC43" s="772"/>
    </row>
    <row r="44" spans="1:30">
      <c r="A44" s="310"/>
      <c r="B44" s="310"/>
      <c r="C44" s="310"/>
      <c r="D44" s="310"/>
      <c r="E44" s="564"/>
      <c r="F44" s="310"/>
      <c r="G44" s="310"/>
      <c r="H44" s="310"/>
      <c r="I44" s="564"/>
      <c r="J44" s="564"/>
      <c r="K44" s="114"/>
      <c r="L44" s="174"/>
      <c r="M44" s="174"/>
      <c r="N44" s="174"/>
      <c r="O44" s="174"/>
      <c r="P44" s="174"/>
      <c r="Q44" s="174"/>
      <c r="R44" s="174"/>
      <c r="S44" s="174"/>
      <c r="T44" s="614"/>
      <c r="U44" s="174"/>
      <c r="V44" s="174"/>
      <c r="W44" s="174"/>
      <c r="X44" s="174"/>
      <c r="Y44" s="174"/>
      <c r="Z44" s="615"/>
      <c r="AA44" s="310"/>
      <c r="AC44" s="772"/>
    </row>
    <row r="45" spans="1:30" ht="6.75" customHeight="1">
      <c r="A45" s="310" t="str">
        <f>IF(ISNUMBER(E45),ROW(),"")</f>
        <v/>
      </c>
      <c r="B45" s="69"/>
      <c r="C45" s="956"/>
      <c r="D45" s="957"/>
      <c r="E45" s="958"/>
      <c r="F45" s="959"/>
      <c r="G45" s="959"/>
      <c r="H45" s="959"/>
      <c r="I45" s="960"/>
      <c r="J45" s="960"/>
      <c r="K45" s="961"/>
      <c r="L45" s="962"/>
      <c r="M45" s="962"/>
      <c r="N45" s="962"/>
      <c r="O45" s="962"/>
      <c r="P45" s="962"/>
      <c r="Q45" s="962"/>
      <c r="R45" s="962"/>
      <c r="S45" s="962"/>
      <c r="T45" s="963"/>
      <c r="U45" s="964"/>
      <c r="V45" s="587"/>
      <c r="W45" s="965"/>
      <c r="X45" s="962"/>
      <c r="Y45" s="962"/>
      <c r="Z45" s="966"/>
      <c r="AA45" s="69"/>
      <c r="AB45" s="81"/>
      <c r="AC45" s="82"/>
      <c r="AD45" s="83"/>
    </row>
    <row r="46" spans="1:30" ht="15.75">
      <c r="A46" s="277" t="str">
        <f t="shared" ref="A46:A63" si="42">IF(ISNUMBER(E46),ROW(),"")</f>
        <v/>
      </c>
      <c r="C46" s="791" t="s">
        <v>1128</v>
      </c>
      <c r="D46" s="16"/>
      <c r="E46" s="561"/>
      <c r="F46" s="12"/>
      <c r="G46" s="12"/>
      <c r="H46" s="12"/>
      <c r="I46" s="576"/>
      <c r="J46" s="575"/>
      <c r="K46" s="120"/>
      <c r="L46" s="594"/>
      <c r="M46" s="595"/>
      <c r="N46" s="600"/>
      <c r="O46" s="601"/>
      <c r="P46" s="602"/>
      <c r="Q46" s="594"/>
      <c r="R46" s="600"/>
      <c r="S46" s="601"/>
      <c r="T46" s="598"/>
      <c r="U46" s="599"/>
      <c r="V46" s="597"/>
      <c r="W46" s="603"/>
      <c r="X46" s="594"/>
      <c r="Y46" s="600"/>
      <c r="Z46" s="604"/>
      <c r="AC46" s="278"/>
    </row>
    <row r="47" spans="1:30">
      <c r="A47" s="277">
        <f t="shared" si="42"/>
        <v>47</v>
      </c>
      <c r="C47" s="792"/>
      <c r="D47" s="16" t="s">
        <v>1129</v>
      </c>
      <c r="E47" s="678">
        <v>226900</v>
      </c>
      <c r="F47" s="12">
        <v>160000</v>
      </c>
      <c r="G47" s="12">
        <v>20000</v>
      </c>
      <c r="H47" s="12">
        <v>50</v>
      </c>
      <c r="I47" s="576">
        <v>13</v>
      </c>
      <c r="J47" s="575">
        <f t="shared" ref="J47:J50" si="43">100/I47</f>
        <v>7.6923076923076925</v>
      </c>
      <c r="K47" s="797" t="s">
        <v>1157</v>
      </c>
      <c r="L47" s="594">
        <f t="shared" ref="L47:L84" si="44">MROUND($E47*(1-$E$295/100)/F47,0.05)</f>
        <v>1.3</v>
      </c>
      <c r="M47" s="595">
        <f t="shared" ref="M47:M84" si="45">MROUND($E47*(1+$E$295/100)/2*$F$304/100/$G47,0.05)</f>
        <v>0.45</v>
      </c>
      <c r="N47" s="600">
        <f t="shared" ref="N47:N84" si="46">MROUND($E47*(1+$E$295/100)/2*$E$296/100/$G47,0.05)</f>
        <v>0.65</v>
      </c>
      <c r="O47" s="601">
        <f t="shared" ref="O47:O50" si="47">SUM(L47:N47)</f>
        <v>2.4</v>
      </c>
      <c r="P47" s="602">
        <f>MROUND(1/$J47*IF(K47="Petrol",Aannames!$F$65,$E$297),0.05)</f>
        <v>1.7000000000000002</v>
      </c>
      <c r="Q47" s="594">
        <f t="shared" ref="Q47:Q84" si="48">MROUND($E47*$H47/100/$F47,0.05)</f>
        <v>0.70000000000000007</v>
      </c>
      <c r="R47" s="600">
        <f>MROUND(SUM(Z47),0.05)</f>
        <v>0.5</v>
      </c>
      <c r="S47" s="601">
        <f t="shared" ref="S47:S50" si="49">SUM(P47:R47)</f>
        <v>2.9000000000000004</v>
      </c>
      <c r="T47" s="598">
        <f t="shared" ref="T47:T50" si="50">U47-P47</f>
        <v>3.6000000000000005</v>
      </c>
      <c r="U47" s="599">
        <f t="shared" ref="U47:U50" si="51">S47+O47</f>
        <v>5.3000000000000007</v>
      </c>
      <c r="V47" s="597"/>
      <c r="W47" s="603">
        <f t="shared" ref="W47:W84" si="52">1/$J47*$F$314/100*$K$300</f>
        <v>4.7125E-2</v>
      </c>
      <c r="X47" s="594">
        <f t="shared" ref="X47:X50" si="53">AC47*AD47</f>
        <v>0.17</v>
      </c>
      <c r="Y47" s="600">
        <f t="shared" ref="Y47:Y84" si="54">SUM(P47,Q47,W47,X47)*$F$308/100</f>
        <v>0.26171250000000001</v>
      </c>
      <c r="Z47" s="604">
        <f t="shared" ref="Z47:Z50" si="55">SUM(W47:Y47)</f>
        <v>0.47883750000000003</v>
      </c>
      <c r="AB47" s="78" t="str">
        <f>Aannames!$C$198</f>
        <v>265  R 16</v>
      </c>
      <c r="AC47" s="278">
        <v>5</v>
      </c>
      <c r="AD47" s="80">
        <f t="shared" ref="AD47:AD84" si="56">$I$320</f>
        <v>3.4000000000000002E-2</v>
      </c>
    </row>
    <row r="48" spans="1:30">
      <c r="A48" s="277">
        <f t="shared" si="42"/>
        <v>48</v>
      </c>
      <c r="C48" s="792"/>
      <c r="D48" s="2" t="s">
        <v>1130</v>
      </c>
      <c r="E48" s="678">
        <v>238900</v>
      </c>
      <c r="F48" s="12">
        <v>160000</v>
      </c>
      <c r="G48" s="12">
        <v>20000</v>
      </c>
      <c r="H48" s="12">
        <v>50</v>
      </c>
      <c r="I48" s="576">
        <v>7.9</v>
      </c>
      <c r="J48" s="575">
        <f t="shared" si="43"/>
        <v>12.658227848101266</v>
      </c>
      <c r="K48" s="797" t="s">
        <v>147</v>
      </c>
      <c r="L48" s="594">
        <f t="shared" si="44"/>
        <v>1.35</v>
      </c>
      <c r="M48" s="595">
        <f t="shared" si="45"/>
        <v>0.5</v>
      </c>
      <c r="N48" s="600">
        <f t="shared" si="46"/>
        <v>0.70000000000000007</v>
      </c>
      <c r="O48" s="601">
        <f t="shared" si="47"/>
        <v>2.5500000000000003</v>
      </c>
      <c r="P48" s="602">
        <f>MROUND(1/$J48*IF(K48="Petrol",Aannames!$F$65,$E$297),0.05)</f>
        <v>0.95000000000000007</v>
      </c>
      <c r="Q48" s="594">
        <f t="shared" si="48"/>
        <v>0.75</v>
      </c>
      <c r="R48" s="600">
        <f t="shared" ref="R48:R50" si="57">MROUND(SUM(Z48),0.05)</f>
        <v>0.4</v>
      </c>
      <c r="S48" s="601">
        <f t="shared" si="49"/>
        <v>2.1</v>
      </c>
      <c r="T48" s="598">
        <f t="shared" si="50"/>
        <v>3.7</v>
      </c>
      <c r="U48" s="599">
        <f t="shared" si="51"/>
        <v>4.6500000000000004</v>
      </c>
      <c r="V48" s="597"/>
      <c r="W48" s="603">
        <f t="shared" si="52"/>
        <v>2.86375E-2</v>
      </c>
      <c r="X48" s="594">
        <f t="shared" si="53"/>
        <v>0.17</v>
      </c>
      <c r="Y48" s="600">
        <f t="shared" si="54"/>
        <v>0.18986375000000003</v>
      </c>
      <c r="Z48" s="604">
        <f t="shared" si="55"/>
        <v>0.38850125000000002</v>
      </c>
      <c r="AB48" s="78" t="str">
        <f>Aannames!$C$198</f>
        <v>265  R 16</v>
      </c>
      <c r="AC48" s="278">
        <v>5</v>
      </c>
      <c r="AD48" s="80">
        <f t="shared" si="56"/>
        <v>3.4000000000000002E-2</v>
      </c>
    </row>
    <row r="49" spans="1:30">
      <c r="A49" s="277">
        <f t="shared" si="42"/>
        <v>49</v>
      </c>
      <c r="C49" s="792"/>
      <c r="D49" s="2" t="s">
        <v>1176</v>
      </c>
      <c r="E49" s="678">
        <v>311900</v>
      </c>
      <c r="F49" s="12">
        <v>160000</v>
      </c>
      <c r="G49" s="12">
        <v>20000</v>
      </c>
      <c r="H49" s="12">
        <v>50</v>
      </c>
      <c r="I49" s="576">
        <v>8.3000000000000007</v>
      </c>
      <c r="J49" s="575">
        <f t="shared" si="43"/>
        <v>12.048192771084336</v>
      </c>
      <c r="K49" s="120" t="s">
        <v>147</v>
      </c>
      <c r="L49" s="594">
        <f t="shared" si="44"/>
        <v>1.75</v>
      </c>
      <c r="M49" s="595">
        <f t="shared" si="45"/>
        <v>0.65</v>
      </c>
      <c r="N49" s="600">
        <f t="shared" si="46"/>
        <v>0.9</v>
      </c>
      <c r="O49" s="601">
        <f t="shared" si="47"/>
        <v>3.3</v>
      </c>
      <c r="P49" s="602">
        <f>MROUND(1/$J49*IF(K49="Petrol",Aannames!$F$65,$E$297),0.05)</f>
        <v>1</v>
      </c>
      <c r="Q49" s="594">
        <f t="shared" si="48"/>
        <v>0.95000000000000007</v>
      </c>
      <c r="R49" s="600">
        <f t="shared" si="57"/>
        <v>0.4</v>
      </c>
      <c r="S49" s="601">
        <f t="shared" si="49"/>
        <v>2.35</v>
      </c>
      <c r="T49" s="598">
        <f t="shared" si="50"/>
        <v>4.6500000000000004</v>
      </c>
      <c r="U49" s="599">
        <f t="shared" si="51"/>
        <v>5.65</v>
      </c>
      <c r="V49" s="597"/>
      <c r="W49" s="603">
        <f t="shared" si="52"/>
        <v>3.00875E-2</v>
      </c>
      <c r="X49" s="594">
        <f t="shared" si="53"/>
        <v>0.17</v>
      </c>
      <c r="Y49" s="600">
        <f t="shared" si="54"/>
        <v>0.21500875</v>
      </c>
      <c r="Z49" s="604">
        <f t="shared" si="55"/>
        <v>0.41509625</v>
      </c>
      <c r="AB49" s="78" t="str">
        <f>Aannames!$C$198</f>
        <v>265  R 16</v>
      </c>
      <c r="AC49" s="278">
        <v>5</v>
      </c>
      <c r="AD49" s="80">
        <f t="shared" si="56"/>
        <v>3.4000000000000002E-2</v>
      </c>
    </row>
    <row r="50" spans="1:30">
      <c r="A50" s="277">
        <f t="shared" si="42"/>
        <v>50</v>
      </c>
      <c r="C50" s="792"/>
      <c r="D50" s="2" t="s">
        <v>1347</v>
      </c>
      <c r="E50" s="678">
        <v>327900</v>
      </c>
      <c r="F50" s="12">
        <v>160000</v>
      </c>
      <c r="G50" s="12">
        <v>20000</v>
      </c>
      <c r="H50" s="12">
        <v>50</v>
      </c>
      <c r="I50" s="576">
        <v>9</v>
      </c>
      <c r="J50" s="575">
        <f t="shared" si="43"/>
        <v>11.111111111111111</v>
      </c>
      <c r="K50" s="120" t="s">
        <v>147</v>
      </c>
      <c r="L50" s="594">
        <f t="shared" si="44"/>
        <v>1.85</v>
      </c>
      <c r="M50" s="595">
        <f t="shared" si="45"/>
        <v>0.70000000000000007</v>
      </c>
      <c r="N50" s="600">
        <f t="shared" si="46"/>
        <v>0.95000000000000007</v>
      </c>
      <c r="O50" s="601">
        <f t="shared" si="47"/>
        <v>3.5000000000000004</v>
      </c>
      <c r="P50" s="602">
        <f>MROUND(1/$J50*IF(K50="Petrol",Aannames!$F$65,$E$297),0.05)</f>
        <v>1.1000000000000001</v>
      </c>
      <c r="Q50" s="594">
        <f t="shared" si="48"/>
        <v>1</v>
      </c>
      <c r="R50" s="600">
        <f t="shared" si="57"/>
        <v>0.45</v>
      </c>
      <c r="S50" s="601">
        <f t="shared" si="49"/>
        <v>2.5500000000000003</v>
      </c>
      <c r="T50" s="598">
        <f t="shared" si="50"/>
        <v>4.9500000000000011</v>
      </c>
      <c r="U50" s="599">
        <f t="shared" si="51"/>
        <v>6.0500000000000007</v>
      </c>
      <c r="V50" s="597"/>
      <c r="W50" s="603">
        <f t="shared" si="52"/>
        <v>3.2625000000000001E-2</v>
      </c>
      <c r="X50" s="594">
        <f t="shared" si="53"/>
        <v>0.17</v>
      </c>
      <c r="Y50" s="600">
        <f t="shared" si="54"/>
        <v>0.23026249999999998</v>
      </c>
      <c r="Z50" s="604">
        <f t="shared" si="55"/>
        <v>0.43288749999999998</v>
      </c>
      <c r="AB50" s="78" t="str">
        <f>Aannames!$C$198</f>
        <v>265  R 16</v>
      </c>
      <c r="AC50" s="278">
        <v>5</v>
      </c>
      <c r="AD50" s="80">
        <f t="shared" si="56"/>
        <v>3.4000000000000002E-2</v>
      </c>
    </row>
    <row r="51" spans="1:30">
      <c r="A51" s="310">
        <f t="shared" si="42"/>
        <v>51</v>
      </c>
      <c r="C51" s="792"/>
      <c r="D51" s="2" t="s">
        <v>1131</v>
      </c>
      <c r="E51" s="678">
        <v>376900</v>
      </c>
      <c r="F51" s="12">
        <v>160000</v>
      </c>
      <c r="G51" s="12">
        <v>20000</v>
      </c>
      <c r="H51" s="12">
        <v>50</v>
      </c>
      <c r="I51" s="576">
        <v>8.3000000000000007</v>
      </c>
      <c r="J51" s="575">
        <f t="shared" ref="J51:J52" si="58">100/I51</f>
        <v>12.048192771084336</v>
      </c>
      <c r="K51" s="120" t="s">
        <v>147</v>
      </c>
      <c r="L51" s="594">
        <f t="shared" si="44"/>
        <v>2.1</v>
      </c>
      <c r="M51" s="595">
        <f t="shared" si="45"/>
        <v>0.8</v>
      </c>
      <c r="N51" s="600">
        <f t="shared" si="46"/>
        <v>1.1000000000000001</v>
      </c>
      <c r="O51" s="601">
        <f t="shared" ref="O51:O52" si="59">SUM(L51:N51)</f>
        <v>4</v>
      </c>
      <c r="P51" s="602">
        <f>MROUND(1/$J51*IF(K51="Petrol",Aannames!$F$65,$E$297),0.05)</f>
        <v>1</v>
      </c>
      <c r="Q51" s="594">
        <f t="shared" si="48"/>
        <v>1.2000000000000002</v>
      </c>
      <c r="R51" s="600">
        <f t="shared" ref="R51:R52" si="60">MROUND(SUM(Z51),0.05)</f>
        <v>0.45</v>
      </c>
      <c r="S51" s="601">
        <f t="shared" ref="S51:S52" si="61">SUM(P51:R51)</f>
        <v>2.6500000000000004</v>
      </c>
      <c r="T51" s="598">
        <f t="shared" ref="T51:T52" si="62">U51-P51</f>
        <v>5.65</v>
      </c>
      <c r="U51" s="599">
        <f t="shared" ref="U51:U52" si="63">S51+O51</f>
        <v>6.65</v>
      </c>
      <c r="V51" s="597"/>
      <c r="W51" s="603">
        <f t="shared" si="52"/>
        <v>3.00875E-2</v>
      </c>
      <c r="X51" s="594">
        <f t="shared" ref="X51:X52" si="64">AC51*AD51</f>
        <v>0.17</v>
      </c>
      <c r="Y51" s="600">
        <f t="shared" si="54"/>
        <v>0.24000874999999999</v>
      </c>
      <c r="Z51" s="604">
        <f t="shared" ref="Z51:Z52" si="65">SUM(W51:Y51)</f>
        <v>0.44009624999999997</v>
      </c>
      <c r="AA51" s="69"/>
      <c r="AB51" s="78" t="str">
        <f>Aannames!$C$198</f>
        <v>265  R 16</v>
      </c>
      <c r="AC51" s="772">
        <v>5</v>
      </c>
      <c r="AD51" s="80">
        <f t="shared" si="56"/>
        <v>3.4000000000000002E-2</v>
      </c>
    </row>
    <row r="52" spans="1:30">
      <c r="A52" s="310">
        <f t="shared" si="42"/>
        <v>52</v>
      </c>
      <c r="C52" s="792"/>
      <c r="D52" s="167" t="s">
        <v>1177</v>
      </c>
      <c r="E52" s="678">
        <v>357900</v>
      </c>
      <c r="F52" s="12">
        <v>160000</v>
      </c>
      <c r="G52" s="12">
        <v>20000</v>
      </c>
      <c r="H52" s="12">
        <v>50</v>
      </c>
      <c r="I52" s="576">
        <v>8.3000000000000007</v>
      </c>
      <c r="J52" s="575">
        <f t="shared" si="58"/>
        <v>12.048192771084336</v>
      </c>
      <c r="K52" s="120" t="s">
        <v>147</v>
      </c>
      <c r="L52" s="594">
        <f t="shared" si="44"/>
        <v>2</v>
      </c>
      <c r="M52" s="595">
        <f t="shared" si="45"/>
        <v>0.75</v>
      </c>
      <c r="N52" s="600">
        <f t="shared" si="46"/>
        <v>1.05</v>
      </c>
      <c r="O52" s="601">
        <f t="shared" si="59"/>
        <v>3.8</v>
      </c>
      <c r="P52" s="602">
        <f>MROUND(1/$J52*IF(K52="Petrol",Aannames!$F$65,$E$297),0.05)</f>
        <v>1</v>
      </c>
      <c r="Q52" s="594">
        <f t="shared" si="48"/>
        <v>1.1000000000000001</v>
      </c>
      <c r="R52" s="600">
        <f t="shared" si="60"/>
        <v>0.45</v>
      </c>
      <c r="S52" s="601">
        <f t="shared" si="61"/>
        <v>2.5500000000000003</v>
      </c>
      <c r="T52" s="598">
        <f t="shared" si="62"/>
        <v>5.35</v>
      </c>
      <c r="U52" s="599">
        <f t="shared" si="63"/>
        <v>6.35</v>
      </c>
      <c r="V52" s="597"/>
      <c r="W52" s="603">
        <f t="shared" si="52"/>
        <v>3.00875E-2</v>
      </c>
      <c r="X52" s="594">
        <f t="shared" si="64"/>
        <v>0.17</v>
      </c>
      <c r="Y52" s="600">
        <f t="shared" si="54"/>
        <v>0.23000875000000001</v>
      </c>
      <c r="Z52" s="604">
        <f t="shared" si="65"/>
        <v>0.43009625000000001</v>
      </c>
      <c r="AB52" s="78" t="str">
        <f>Aannames!$C$198</f>
        <v>265  R 16</v>
      </c>
      <c r="AC52" s="772">
        <v>5</v>
      </c>
      <c r="AD52" s="80">
        <f t="shared" si="56"/>
        <v>3.4000000000000002E-2</v>
      </c>
    </row>
    <row r="53" spans="1:30">
      <c r="A53" s="310">
        <f t="shared" si="42"/>
        <v>53</v>
      </c>
      <c r="C53" s="792"/>
      <c r="D53" s="167" t="s">
        <v>1348</v>
      </c>
      <c r="E53" s="678">
        <v>381900</v>
      </c>
      <c r="F53" s="12">
        <v>160000</v>
      </c>
      <c r="G53" s="12">
        <v>20000</v>
      </c>
      <c r="H53" s="12">
        <v>50</v>
      </c>
      <c r="I53" s="576">
        <v>8.3000000000000007</v>
      </c>
      <c r="J53" s="575">
        <f t="shared" ref="J53:J58" si="66">100/I53</f>
        <v>12.048192771084336</v>
      </c>
      <c r="K53" s="120" t="s">
        <v>147</v>
      </c>
      <c r="L53" s="594">
        <f t="shared" si="44"/>
        <v>2.15</v>
      </c>
      <c r="M53" s="595">
        <f t="shared" si="45"/>
        <v>0.8</v>
      </c>
      <c r="N53" s="600">
        <f t="shared" si="46"/>
        <v>1.1000000000000001</v>
      </c>
      <c r="O53" s="601">
        <f t="shared" ref="O53:O58" si="67">SUM(L53:N53)</f>
        <v>4.0500000000000007</v>
      </c>
      <c r="P53" s="602">
        <f>MROUND(1/$J53*IF(K53="Petrol",Aannames!$F$65,$E$297),0.05)</f>
        <v>1</v>
      </c>
      <c r="Q53" s="594">
        <f t="shared" si="48"/>
        <v>1.2000000000000002</v>
      </c>
      <c r="R53" s="600">
        <f t="shared" ref="R53:R58" si="68">MROUND(SUM(Z53),0.05)</f>
        <v>0.45</v>
      </c>
      <c r="S53" s="601">
        <f t="shared" ref="S53:S58" si="69">SUM(P53:R53)</f>
        <v>2.6500000000000004</v>
      </c>
      <c r="T53" s="598">
        <f t="shared" ref="T53:T58" si="70">U53-P53</f>
        <v>5.7000000000000011</v>
      </c>
      <c r="U53" s="599">
        <f t="shared" ref="U53:U58" si="71">S53+O53</f>
        <v>6.7000000000000011</v>
      </c>
      <c r="V53" s="597"/>
      <c r="W53" s="603">
        <f t="shared" si="52"/>
        <v>3.00875E-2</v>
      </c>
      <c r="X53" s="594">
        <f>AC53*AD53</f>
        <v>0.17</v>
      </c>
      <c r="Y53" s="600">
        <f t="shared" si="54"/>
        <v>0.24000874999999999</v>
      </c>
      <c r="Z53" s="604">
        <f>SUM(W53:Y53)</f>
        <v>0.44009624999999997</v>
      </c>
      <c r="AB53" s="78" t="str">
        <f>Aannames!$C$198</f>
        <v>265  R 16</v>
      </c>
      <c r="AC53" s="772">
        <v>5</v>
      </c>
      <c r="AD53" s="80">
        <f t="shared" si="56"/>
        <v>3.4000000000000002E-2</v>
      </c>
    </row>
    <row r="54" spans="1:30">
      <c r="A54" s="310">
        <f t="shared" si="42"/>
        <v>54</v>
      </c>
      <c r="C54" s="792"/>
      <c r="D54" s="167" t="s">
        <v>1349</v>
      </c>
      <c r="E54" s="678">
        <v>424900</v>
      </c>
      <c r="F54" s="12">
        <v>160000</v>
      </c>
      <c r="G54" s="12">
        <v>20000</v>
      </c>
      <c r="H54" s="12">
        <v>50</v>
      </c>
      <c r="I54" s="576">
        <v>8.3000000000000007</v>
      </c>
      <c r="J54" s="575">
        <f t="shared" si="66"/>
        <v>12.048192771084336</v>
      </c>
      <c r="K54" s="120" t="s">
        <v>147</v>
      </c>
      <c r="L54" s="594">
        <f t="shared" si="44"/>
        <v>2.4000000000000004</v>
      </c>
      <c r="M54" s="595">
        <f t="shared" si="45"/>
        <v>0.9</v>
      </c>
      <c r="N54" s="600">
        <f t="shared" si="46"/>
        <v>1.25</v>
      </c>
      <c r="O54" s="601">
        <f t="shared" si="67"/>
        <v>4.5500000000000007</v>
      </c>
      <c r="P54" s="602">
        <f>MROUND(1/$J54*IF(K54="Petrol",Aannames!$F$65,$E$297),0.05)</f>
        <v>1</v>
      </c>
      <c r="Q54" s="594">
        <f t="shared" si="48"/>
        <v>1.35</v>
      </c>
      <c r="R54" s="600">
        <f t="shared" si="68"/>
        <v>0.45</v>
      </c>
      <c r="S54" s="601">
        <f t="shared" si="69"/>
        <v>2.8000000000000003</v>
      </c>
      <c r="T54" s="598">
        <f t="shared" si="70"/>
        <v>6.3500000000000014</v>
      </c>
      <c r="U54" s="599">
        <f t="shared" si="71"/>
        <v>7.3500000000000014</v>
      </c>
      <c r="V54" s="597"/>
      <c r="W54" s="603">
        <f t="shared" si="52"/>
        <v>3.00875E-2</v>
      </c>
      <c r="X54" s="594">
        <f>AC54*AD54</f>
        <v>0.17</v>
      </c>
      <c r="Y54" s="600">
        <f t="shared" si="54"/>
        <v>0.25500875000000001</v>
      </c>
      <c r="Z54" s="604">
        <f>SUM(W54:Y54)</f>
        <v>0.45509624999999998</v>
      </c>
      <c r="AB54" s="78" t="str">
        <f>Aannames!$C$198</f>
        <v>265  R 16</v>
      </c>
      <c r="AC54" s="772">
        <v>5</v>
      </c>
      <c r="AD54" s="80">
        <f t="shared" si="56"/>
        <v>3.4000000000000002E-2</v>
      </c>
    </row>
    <row r="55" spans="1:30">
      <c r="A55" s="310">
        <f t="shared" si="42"/>
        <v>55</v>
      </c>
      <c r="C55" s="792"/>
      <c r="D55" s="167" t="s">
        <v>1350</v>
      </c>
      <c r="E55" s="678">
        <v>439900</v>
      </c>
      <c r="F55" s="12">
        <v>160000</v>
      </c>
      <c r="G55" s="12">
        <v>20000</v>
      </c>
      <c r="H55" s="12">
        <v>50</v>
      </c>
      <c r="I55" s="576">
        <v>9.6999999999999993</v>
      </c>
      <c r="J55" s="575">
        <f t="shared" si="66"/>
        <v>10.309278350515465</v>
      </c>
      <c r="K55" s="120" t="s">
        <v>147</v>
      </c>
      <c r="L55" s="594">
        <f t="shared" si="44"/>
        <v>2.4500000000000002</v>
      </c>
      <c r="M55" s="595">
        <f t="shared" si="45"/>
        <v>0.9</v>
      </c>
      <c r="N55" s="600">
        <f t="shared" si="46"/>
        <v>1.25</v>
      </c>
      <c r="O55" s="601">
        <f t="shared" si="67"/>
        <v>4.5999999999999996</v>
      </c>
      <c r="P55" s="602">
        <f>MROUND(1/$J55*IF(K55="Petrol",Aannames!$F$65,$E$297),0.05)</f>
        <v>1.2000000000000002</v>
      </c>
      <c r="Q55" s="594">
        <f t="shared" si="48"/>
        <v>1.35</v>
      </c>
      <c r="R55" s="600">
        <f t="shared" si="68"/>
        <v>0.5</v>
      </c>
      <c r="S55" s="601">
        <f t="shared" si="69"/>
        <v>3.0500000000000003</v>
      </c>
      <c r="T55" s="598">
        <f t="shared" si="70"/>
        <v>6.45</v>
      </c>
      <c r="U55" s="599">
        <f t="shared" si="71"/>
        <v>7.65</v>
      </c>
      <c r="V55" s="597"/>
      <c r="W55" s="603">
        <f t="shared" si="52"/>
        <v>3.5162499999999999E-2</v>
      </c>
      <c r="X55" s="594">
        <f t="shared" ref="X55:X58" si="72">AC55*AD55</f>
        <v>0.17</v>
      </c>
      <c r="Y55" s="600">
        <f t="shared" si="54"/>
        <v>0.27551625000000007</v>
      </c>
      <c r="Z55" s="604">
        <f t="shared" ref="Z55:Z58" si="73">SUM(W55:Y55)</f>
        <v>0.4806787500000001</v>
      </c>
      <c r="AB55" s="78" t="str">
        <f>Aannames!$C$198</f>
        <v>265  R 16</v>
      </c>
      <c r="AC55" s="772">
        <v>5</v>
      </c>
      <c r="AD55" s="80">
        <f t="shared" si="56"/>
        <v>3.4000000000000002E-2</v>
      </c>
    </row>
    <row r="56" spans="1:30">
      <c r="A56" s="310">
        <f t="shared" si="42"/>
        <v>56</v>
      </c>
      <c r="C56" s="792"/>
      <c r="D56" s="153" t="s">
        <v>1132</v>
      </c>
      <c r="E56" s="678">
        <v>388900</v>
      </c>
      <c r="F56" s="12">
        <v>160000</v>
      </c>
      <c r="G56" s="12">
        <v>20000</v>
      </c>
      <c r="H56" s="12">
        <v>50</v>
      </c>
      <c r="I56" s="576">
        <v>9.8000000000000007</v>
      </c>
      <c r="J56" s="575">
        <f t="shared" si="66"/>
        <v>10.204081632653061</v>
      </c>
      <c r="K56" s="120" t="s">
        <v>147</v>
      </c>
      <c r="L56" s="594">
        <f t="shared" si="44"/>
        <v>2.2000000000000002</v>
      </c>
      <c r="M56" s="595">
        <f t="shared" si="45"/>
        <v>0.8</v>
      </c>
      <c r="N56" s="600">
        <f t="shared" si="46"/>
        <v>1.1000000000000001</v>
      </c>
      <c r="O56" s="601">
        <f t="shared" si="67"/>
        <v>4.0999999999999996</v>
      </c>
      <c r="P56" s="602">
        <f>MROUND(1/$J56*IF(K56="Petrol",Aannames!$F$65,$E$297),0.05)</f>
        <v>1.2000000000000002</v>
      </c>
      <c r="Q56" s="594">
        <f t="shared" si="48"/>
        <v>1.2000000000000002</v>
      </c>
      <c r="R56" s="600">
        <f t="shared" si="68"/>
        <v>0.45</v>
      </c>
      <c r="S56" s="601">
        <f t="shared" si="69"/>
        <v>2.8500000000000005</v>
      </c>
      <c r="T56" s="598">
        <f t="shared" si="70"/>
        <v>5.75</v>
      </c>
      <c r="U56" s="599">
        <f t="shared" si="71"/>
        <v>6.95</v>
      </c>
      <c r="V56" s="597"/>
      <c r="W56" s="603">
        <f t="shared" si="52"/>
        <v>3.5525000000000001E-2</v>
      </c>
      <c r="X56" s="594">
        <f t="shared" si="72"/>
        <v>0.17</v>
      </c>
      <c r="Y56" s="600">
        <f t="shared" si="54"/>
        <v>0.26055250000000002</v>
      </c>
      <c r="Z56" s="604">
        <f t="shared" si="73"/>
        <v>0.46607750000000003</v>
      </c>
      <c r="AB56" s="78" t="str">
        <f>Aannames!$C$198</f>
        <v>265  R 16</v>
      </c>
      <c r="AC56" s="772">
        <v>5</v>
      </c>
      <c r="AD56" s="80">
        <f t="shared" si="56"/>
        <v>3.4000000000000002E-2</v>
      </c>
    </row>
    <row r="57" spans="1:30">
      <c r="A57" s="310">
        <f t="shared" si="42"/>
        <v>57</v>
      </c>
      <c r="C57" s="792"/>
      <c r="D57" s="153" t="s">
        <v>1209</v>
      </c>
      <c r="E57" s="678">
        <v>447900</v>
      </c>
      <c r="F57" s="12">
        <v>160000</v>
      </c>
      <c r="G57" s="12">
        <v>20000</v>
      </c>
      <c r="H57" s="12">
        <v>50</v>
      </c>
      <c r="I57" s="576">
        <v>10</v>
      </c>
      <c r="J57" s="575">
        <f t="shared" si="66"/>
        <v>10</v>
      </c>
      <c r="K57" s="120" t="s">
        <v>147</v>
      </c>
      <c r="L57" s="594">
        <f t="shared" si="44"/>
        <v>2.5</v>
      </c>
      <c r="M57" s="595">
        <f t="shared" si="45"/>
        <v>0.9</v>
      </c>
      <c r="N57" s="600">
        <f t="shared" si="46"/>
        <v>1.3</v>
      </c>
      <c r="O57" s="601">
        <f t="shared" si="67"/>
        <v>4.7</v>
      </c>
      <c r="P57" s="602">
        <f>MROUND(1/$J57*IF(K57="Petrol",Aannames!$F$65,$E$297),0.05)</f>
        <v>1.25</v>
      </c>
      <c r="Q57" s="594">
        <f t="shared" si="48"/>
        <v>1.4000000000000001</v>
      </c>
      <c r="R57" s="600">
        <f t="shared" si="68"/>
        <v>0.5</v>
      </c>
      <c r="S57" s="601">
        <f t="shared" si="69"/>
        <v>3.1500000000000004</v>
      </c>
      <c r="T57" s="598">
        <f t="shared" si="70"/>
        <v>6.6000000000000005</v>
      </c>
      <c r="U57" s="599">
        <f t="shared" si="71"/>
        <v>7.8500000000000005</v>
      </c>
      <c r="V57" s="597"/>
      <c r="W57" s="603">
        <f t="shared" si="52"/>
        <v>3.6249999999999998E-2</v>
      </c>
      <c r="X57" s="594">
        <f t="shared" si="72"/>
        <v>0.17</v>
      </c>
      <c r="Y57" s="600">
        <f t="shared" si="54"/>
        <v>0.28562500000000002</v>
      </c>
      <c r="Z57" s="604">
        <f t="shared" si="73"/>
        <v>0.49187500000000006</v>
      </c>
      <c r="AB57" s="78" t="str">
        <f>Aannames!$C$198</f>
        <v>265  R 16</v>
      </c>
      <c r="AC57" s="772">
        <v>5</v>
      </c>
      <c r="AD57" s="80">
        <f t="shared" si="56"/>
        <v>3.4000000000000002E-2</v>
      </c>
    </row>
    <row r="58" spans="1:30">
      <c r="A58" s="310">
        <f t="shared" si="42"/>
        <v>58</v>
      </c>
      <c r="C58" s="792"/>
      <c r="D58" s="153" t="s">
        <v>1178</v>
      </c>
      <c r="E58" s="678">
        <v>271900</v>
      </c>
      <c r="F58" s="12">
        <v>160000</v>
      </c>
      <c r="G58" s="12">
        <v>20000</v>
      </c>
      <c r="H58" s="12">
        <v>50</v>
      </c>
      <c r="I58" s="576">
        <v>8.3000000000000007</v>
      </c>
      <c r="J58" s="575">
        <f t="shared" si="66"/>
        <v>12.048192771084336</v>
      </c>
      <c r="K58" s="797" t="s">
        <v>147</v>
      </c>
      <c r="L58" s="594">
        <f t="shared" si="44"/>
        <v>1.55</v>
      </c>
      <c r="M58" s="595">
        <f t="shared" si="45"/>
        <v>0.55000000000000004</v>
      </c>
      <c r="N58" s="600">
        <f t="shared" si="46"/>
        <v>0.8</v>
      </c>
      <c r="O58" s="601">
        <f t="shared" si="67"/>
        <v>2.9000000000000004</v>
      </c>
      <c r="P58" s="602">
        <f>MROUND(1/$J58*IF(K58="Petrol",Aannames!$F$65,$E$297),0.05)</f>
        <v>1</v>
      </c>
      <c r="Q58" s="594">
        <f t="shared" si="48"/>
        <v>0.85000000000000009</v>
      </c>
      <c r="R58" s="600">
        <f t="shared" si="68"/>
        <v>0.4</v>
      </c>
      <c r="S58" s="601">
        <f t="shared" si="69"/>
        <v>2.25</v>
      </c>
      <c r="T58" s="598">
        <f t="shared" si="70"/>
        <v>4.1500000000000004</v>
      </c>
      <c r="U58" s="599">
        <f t="shared" si="71"/>
        <v>5.15</v>
      </c>
      <c r="V58" s="597"/>
      <c r="W58" s="603">
        <f t="shared" si="52"/>
        <v>3.00875E-2</v>
      </c>
      <c r="X58" s="594">
        <f t="shared" si="72"/>
        <v>0.17</v>
      </c>
      <c r="Y58" s="600">
        <f t="shared" si="54"/>
        <v>0.20500875000000002</v>
      </c>
      <c r="Z58" s="604">
        <f t="shared" si="73"/>
        <v>0.40509625000000005</v>
      </c>
      <c r="AB58" s="78" t="str">
        <f>Aannames!$C$198</f>
        <v>265  R 16</v>
      </c>
      <c r="AC58" s="772">
        <v>5</v>
      </c>
      <c r="AD58" s="80">
        <f t="shared" si="56"/>
        <v>3.4000000000000002E-2</v>
      </c>
    </row>
    <row r="59" spans="1:30">
      <c r="A59" s="310">
        <f t="shared" si="42"/>
        <v>59</v>
      </c>
      <c r="C59" s="792"/>
      <c r="D59" s="2" t="s">
        <v>1133</v>
      </c>
      <c r="E59" s="678">
        <v>350900</v>
      </c>
      <c r="F59" s="12">
        <v>160000</v>
      </c>
      <c r="G59" s="12">
        <v>20000</v>
      </c>
      <c r="H59" s="12">
        <v>50</v>
      </c>
      <c r="I59" s="576">
        <v>8.3000000000000007</v>
      </c>
      <c r="J59" s="575">
        <f t="shared" ref="J59:J60" si="74">100/I59</f>
        <v>12.048192771084336</v>
      </c>
      <c r="K59" s="120" t="s">
        <v>147</v>
      </c>
      <c r="L59" s="594">
        <f t="shared" si="44"/>
        <v>1.9500000000000002</v>
      </c>
      <c r="M59" s="595">
        <f t="shared" si="45"/>
        <v>0.70000000000000007</v>
      </c>
      <c r="N59" s="600">
        <f t="shared" si="46"/>
        <v>1</v>
      </c>
      <c r="O59" s="601">
        <f t="shared" ref="O59:O60" si="75">SUM(L59:N59)</f>
        <v>3.6500000000000004</v>
      </c>
      <c r="P59" s="602">
        <f>MROUND(1/$J59*IF(K59="Petrol",Aannames!$F$65,$E$297),0.05)</f>
        <v>1</v>
      </c>
      <c r="Q59" s="594">
        <f t="shared" si="48"/>
        <v>1.1000000000000001</v>
      </c>
      <c r="R59" s="600">
        <f t="shared" ref="R59:R60" si="76">MROUND(SUM(Z59),0.05)</f>
        <v>0.45</v>
      </c>
      <c r="S59" s="601">
        <f t="shared" ref="S59:S60" si="77">SUM(P59:R59)</f>
        <v>2.5500000000000003</v>
      </c>
      <c r="T59" s="598">
        <f t="shared" ref="T59:T60" si="78">U59-P59</f>
        <v>5.2000000000000011</v>
      </c>
      <c r="U59" s="599">
        <f t="shared" ref="U59:U60" si="79">S59+O59</f>
        <v>6.2000000000000011</v>
      </c>
      <c r="V59" s="597"/>
      <c r="W59" s="603">
        <f t="shared" si="52"/>
        <v>3.00875E-2</v>
      </c>
      <c r="X59" s="594">
        <f t="shared" ref="X59:X60" si="80">AC59*AD59</f>
        <v>0.17</v>
      </c>
      <c r="Y59" s="600">
        <f t="shared" si="54"/>
        <v>0.23000875000000001</v>
      </c>
      <c r="Z59" s="604">
        <f t="shared" ref="Z59:Z60" si="81">SUM(W59:Y59)</f>
        <v>0.43009625000000001</v>
      </c>
      <c r="AA59" s="69"/>
      <c r="AB59" s="78" t="str">
        <f>Aannames!$C$198</f>
        <v>265  R 16</v>
      </c>
      <c r="AC59" s="772">
        <v>5</v>
      </c>
      <c r="AD59" s="80">
        <f t="shared" si="56"/>
        <v>3.4000000000000002E-2</v>
      </c>
    </row>
    <row r="60" spans="1:30">
      <c r="A60" s="310">
        <f t="shared" si="42"/>
        <v>60</v>
      </c>
      <c r="C60" s="792"/>
      <c r="D60" s="16" t="s">
        <v>1351</v>
      </c>
      <c r="E60" s="678">
        <v>366900</v>
      </c>
      <c r="F60" s="12">
        <v>160000</v>
      </c>
      <c r="G60" s="12">
        <v>20000</v>
      </c>
      <c r="H60" s="12">
        <v>50</v>
      </c>
      <c r="I60" s="576">
        <v>9</v>
      </c>
      <c r="J60" s="575">
        <f t="shared" si="74"/>
        <v>11.111111111111111</v>
      </c>
      <c r="K60" s="120" t="s">
        <v>147</v>
      </c>
      <c r="L60" s="594">
        <f t="shared" si="44"/>
        <v>2.0500000000000003</v>
      </c>
      <c r="M60" s="595">
        <f t="shared" si="45"/>
        <v>0.75</v>
      </c>
      <c r="N60" s="600">
        <f t="shared" si="46"/>
        <v>1.05</v>
      </c>
      <c r="O60" s="601">
        <f t="shared" si="75"/>
        <v>3.8500000000000005</v>
      </c>
      <c r="P60" s="602">
        <f>MROUND(1/$J60*IF(K60="Petrol",Aannames!$F$65,$E$297),0.05)</f>
        <v>1.1000000000000001</v>
      </c>
      <c r="Q60" s="594">
        <f t="shared" si="48"/>
        <v>1.1500000000000001</v>
      </c>
      <c r="R60" s="600">
        <f t="shared" si="76"/>
        <v>0.45</v>
      </c>
      <c r="S60" s="601">
        <f t="shared" si="77"/>
        <v>2.7</v>
      </c>
      <c r="T60" s="598">
        <f t="shared" si="78"/>
        <v>5.4500000000000011</v>
      </c>
      <c r="U60" s="599">
        <f t="shared" si="79"/>
        <v>6.5500000000000007</v>
      </c>
      <c r="V60" s="597"/>
      <c r="W60" s="603">
        <f t="shared" si="52"/>
        <v>3.2625000000000001E-2</v>
      </c>
      <c r="X60" s="594">
        <f t="shared" si="80"/>
        <v>0.17</v>
      </c>
      <c r="Y60" s="600">
        <f t="shared" si="54"/>
        <v>0.24526249999999997</v>
      </c>
      <c r="Z60" s="604">
        <f t="shared" si="81"/>
        <v>0.44788749999999999</v>
      </c>
      <c r="AB60" s="78" t="str">
        <f>Aannames!$C$198</f>
        <v>265  R 16</v>
      </c>
      <c r="AC60" s="772">
        <v>5</v>
      </c>
      <c r="AD60" s="80">
        <f t="shared" si="56"/>
        <v>3.4000000000000002E-2</v>
      </c>
    </row>
    <row r="61" spans="1:30">
      <c r="A61" s="310">
        <f t="shared" si="42"/>
        <v>61</v>
      </c>
      <c r="C61" s="792"/>
      <c r="D61" s="167" t="s">
        <v>1179</v>
      </c>
      <c r="E61" s="678">
        <v>409900</v>
      </c>
      <c r="F61" s="12">
        <v>160000</v>
      </c>
      <c r="G61" s="12">
        <v>20000</v>
      </c>
      <c r="H61" s="12">
        <v>50</v>
      </c>
      <c r="I61" s="576">
        <v>8.3000000000000007</v>
      </c>
      <c r="J61" s="575">
        <f t="shared" ref="J61:J63" si="82">100/I61</f>
        <v>12.048192771084336</v>
      </c>
      <c r="K61" s="120" t="s">
        <v>147</v>
      </c>
      <c r="L61" s="594">
        <f t="shared" si="44"/>
        <v>2.3000000000000003</v>
      </c>
      <c r="M61" s="595">
        <f t="shared" si="45"/>
        <v>0.85000000000000009</v>
      </c>
      <c r="N61" s="600">
        <f t="shared" si="46"/>
        <v>1.2000000000000002</v>
      </c>
      <c r="O61" s="601">
        <f t="shared" ref="O61:O63" si="83">SUM(L61:N61)</f>
        <v>4.3500000000000005</v>
      </c>
      <c r="P61" s="602">
        <f>MROUND(1/$J61*IF(K61="Petrol",Aannames!$F$65,$E$297),0.05)</f>
        <v>1</v>
      </c>
      <c r="Q61" s="594">
        <f t="shared" si="48"/>
        <v>1.3</v>
      </c>
      <c r="R61" s="600">
        <f t="shared" ref="R61:R63" si="84">MROUND(SUM(Z61),0.05)</f>
        <v>0.45</v>
      </c>
      <c r="S61" s="601">
        <f t="shared" ref="S61:S63" si="85">SUM(P61:R61)</f>
        <v>2.75</v>
      </c>
      <c r="T61" s="598">
        <f t="shared" ref="T61:T63" si="86">U61-P61</f>
        <v>6.1000000000000005</v>
      </c>
      <c r="U61" s="599">
        <f t="shared" ref="U61:U63" si="87">S61+O61</f>
        <v>7.1000000000000005</v>
      </c>
      <c r="V61" s="597"/>
      <c r="W61" s="603">
        <f t="shared" si="52"/>
        <v>3.00875E-2</v>
      </c>
      <c r="X61" s="594">
        <f>AC61*AD61</f>
        <v>0.17</v>
      </c>
      <c r="Y61" s="600">
        <f t="shared" si="54"/>
        <v>0.25000874999999995</v>
      </c>
      <c r="Z61" s="604">
        <f>SUM(W61:Y61)</f>
        <v>0.45009624999999998</v>
      </c>
      <c r="AB61" s="78" t="str">
        <f>Aannames!$C$198</f>
        <v>265  R 16</v>
      </c>
      <c r="AC61" s="772">
        <v>5</v>
      </c>
      <c r="AD61" s="80">
        <f t="shared" si="56"/>
        <v>3.4000000000000002E-2</v>
      </c>
    </row>
    <row r="62" spans="1:30">
      <c r="A62" s="310">
        <f t="shared" si="42"/>
        <v>62</v>
      </c>
      <c r="C62" s="792"/>
      <c r="D62" s="167" t="s">
        <v>1352</v>
      </c>
      <c r="E62" s="678">
        <v>420900</v>
      </c>
      <c r="F62" s="12">
        <v>160000</v>
      </c>
      <c r="G62" s="12">
        <v>20000</v>
      </c>
      <c r="H62" s="12">
        <v>50</v>
      </c>
      <c r="I62" s="576">
        <v>9</v>
      </c>
      <c r="J62" s="575">
        <f t="shared" si="82"/>
        <v>11.111111111111111</v>
      </c>
      <c r="K62" s="120" t="s">
        <v>147</v>
      </c>
      <c r="L62" s="594">
        <f t="shared" si="44"/>
        <v>2.35</v>
      </c>
      <c r="M62" s="595">
        <f t="shared" si="45"/>
        <v>0.85000000000000009</v>
      </c>
      <c r="N62" s="600">
        <f t="shared" si="46"/>
        <v>1.2000000000000002</v>
      </c>
      <c r="O62" s="601">
        <f t="shared" si="83"/>
        <v>4.4000000000000004</v>
      </c>
      <c r="P62" s="602">
        <f>MROUND(1/$J62*IF(K62="Petrol",Aannames!$F$65,$E$297),0.05)</f>
        <v>1.1000000000000001</v>
      </c>
      <c r="Q62" s="594">
        <f t="shared" si="48"/>
        <v>1.3</v>
      </c>
      <c r="R62" s="600">
        <f t="shared" si="84"/>
        <v>0.45</v>
      </c>
      <c r="S62" s="601">
        <f t="shared" si="85"/>
        <v>2.8500000000000005</v>
      </c>
      <c r="T62" s="598">
        <f t="shared" si="86"/>
        <v>6.15</v>
      </c>
      <c r="U62" s="599">
        <f t="shared" si="87"/>
        <v>7.2500000000000009</v>
      </c>
      <c r="V62" s="597"/>
      <c r="W62" s="603">
        <f t="shared" si="52"/>
        <v>3.2625000000000001E-2</v>
      </c>
      <c r="X62" s="594">
        <f>AC62*AD62</f>
        <v>0.17</v>
      </c>
      <c r="Y62" s="600">
        <f t="shared" si="54"/>
        <v>0.26026250000000001</v>
      </c>
      <c r="Z62" s="604">
        <f>SUM(W62:Y62)</f>
        <v>0.46288750000000001</v>
      </c>
      <c r="AB62" s="78" t="str">
        <f>Aannames!$C$198</f>
        <v>265  R 16</v>
      </c>
      <c r="AC62" s="772">
        <v>5</v>
      </c>
      <c r="AD62" s="80">
        <f t="shared" si="56"/>
        <v>3.4000000000000002E-2</v>
      </c>
    </row>
    <row r="63" spans="1:30">
      <c r="A63" s="310">
        <f t="shared" si="42"/>
        <v>63</v>
      </c>
      <c r="C63" s="792"/>
      <c r="D63" s="167" t="s">
        <v>1353</v>
      </c>
      <c r="E63" s="678">
        <v>482900</v>
      </c>
      <c r="F63" s="12">
        <v>160000</v>
      </c>
      <c r="G63" s="12">
        <v>20000</v>
      </c>
      <c r="H63" s="12">
        <v>50</v>
      </c>
      <c r="I63" s="576">
        <v>9.6999999999999993</v>
      </c>
      <c r="J63" s="575">
        <f t="shared" si="82"/>
        <v>10.309278350515465</v>
      </c>
      <c r="K63" s="797" t="s">
        <v>147</v>
      </c>
      <c r="L63" s="594">
        <f t="shared" si="44"/>
        <v>2.7</v>
      </c>
      <c r="M63" s="595">
        <f t="shared" si="45"/>
        <v>1</v>
      </c>
      <c r="N63" s="600">
        <f t="shared" si="46"/>
        <v>1.4000000000000001</v>
      </c>
      <c r="O63" s="601">
        <f t="shared" si="83"/>
        <v>5.1000000000000005</v>
      </c>
      <c r="P63" s="602">
        <f>MROUND(1/$J63*IF(K63="Petrol",Aannames!$F$65,$E$297),0.05)</f>
        <v>1.2000000000000002</v>
      </c>
      <c r="Q63" s="594">
        <f t="shared" si="48"/>
        <v>1.5</v>
      </c>
      <c r="R63" s="600">
        <f t="shared" si="84"/>
        <v>0.5</v>
      </c>
      <c r="S63" s="601">
        <f t="shared" si="85"/>
        <v>3.2</v>
      </c>
      <c r="T63" s="598">
        <f t="shared" si="86"/>
        <v>7.1000000000000005</v>
      </c>
      <c r="U63" s="599">
        <f t="shared" si="87"/>
        <v>8.3000000000000007</v>
      </c>
      <c r="V63" s="597"/>
      <c r="W63" s="603">
        <f t="shared" si="52"/>
        <v>3.5162499999999999E-2</v>
      </c>
      <c r="X63" s="594">
        <f t="shared" ref="X63" si="88">AC63*AD63</f>
        <v>0.17</v>
      </c>
      <c r="Y63" s="600">
        <f t="shared" si="54"/>
        <v>0.29051625000000003</v>
      </c>
      <c r="Z63" s="604">
        <f t="shared" ref="Z63" si="89">SUM(W63:Y63)</f>
        <v>0.49567875000000006</v>
      </c>
      <c r="AB63" s="78" t="str">
        <f>Aannames!$C$198</f>
        <v>265  R 16</v>
      </c>
      <c r="AC63" s="772">
        <v>5</v>
      </c>
      <c r="AD63" s="80">
        <f t="shared" si="56"/>
        <v>3.4000000000000002E-2</v>
      </c>
    </row>
    <row r="64" spans="1:30">
      <c r="A64" s="277">
        <f t="shared" ref="A64:A233" si="90">IF(ISNUMBER(E64),ROW(),"")</f>
        <v>64</v>
      </c>
      <c r="C64" s="117"/>
      <c r="D64" s="153" t="s">
        <v>1134</v>
      </c>
      <c r="E64" s="678">
        <v>412900</v>
      </c>
      <c r="F64" s="12">
        <v>160000</v>
      </c>
      <c r="G64" s="12">
        <v>20000</v>
      </c>
      <c r="H64" s="12">
        <v>50</v>
      </c>
      <c r="I64" s="576">
        <v>9.8000000000000007</v>
      </c>
      <c r="J64" s="575">
        <f t="shared" ref="J64:J65" si="91">100/I64</f>
        <v>10.204081632653061</v>
      </c>
      <c r="K64" s="797" t="s">
        <v>147</v>
      </c>
      <c r="L64" s="594">
        <f t="shared" si="44"/>
        <v>2.3000000000000003</v>
      </c>
      <c r="M64" s="595">
        <f t="shared" si="45"/>
        <v>0.85000000000000009</v>
      </c>
      <c r="N64" s="600">
        <f t="shared" si="46"/>
        <v>1.2000000000000002</v>
      </c>
      <c r="O64" s="601">
        <f t="shared" ref="O64:O65" si="92">SUM(L64:N64)</f>
        <v>4.3500000000000005</v>
      </c>
      <c r="P64" s="602">
        <f>MROUND(1/$J64*IF(K64="Petrol",Aannames!$F$65,$E$297),0.05)</f>
        <v>1.2000000000000002</v>
      </c>
      <c r="Q64" s="594">
        <f t="shared" si="48"/>
        <v>1.3</v>
      </c>
      <c r="R64" s="600">
        <f t="shared" ref="R64:R65" si="93">MROUND(SUM(Z64),0.05)</f>
        <v>0.5</v>
      </c>
      <c r="S64" s="601">
        <f t="shared" ref="S64:S65" si="94">SUM(P64:R64)</f>
        <v>3</v>
      </c>
      <c r="T64" s="598">
        <f t="shared" ref="T64:T65" si="95">U64-P64</f>
        <v>6.15</v>
      </c>
      <c r="U64" s="599">
        <f t="shared" ref="U64:U65" si="96">S64+O64</f>
        <v>7.3500000000000005</v>
      </c>
      <c r="V64" s="597"/>
      <c r="W64" s="603">
        <f t="shared" si="52"/>
        <v>3.5525000000000001E-2</v>
      </c>
      <c r="X64" s="594">
        <f t="shared" ref="X64:X65" si="97">AC64*AD64</f>
        <v>0.17</v>
      </c>
      <c r="Y64" s="600">
        <f t="shared" si="54"/>
        <v>0.27055249999999997</v>
      </c>
      <c r="Z64" s="604">
        <f t="shared" ref="Z64:Z65" si="98">SUM(W64:Y64)</f>
        <v>0.47607749999999999</v>
      </c>
      <c r="AB64" s="78" t="str">
        <f>Aannames!$C$198</f>
        <v>265  R 16</v>
      </c>
      <c r="AC64" s="772">
        <v>5</v>
      </c>
      <c r="AD64" s="80">
        <f t="shared" si="56"/>
        <v>3.4000000000000002E-2</v>
      </c>
    </row>
    <row r="65" spans="1:30" ht="15.75">
      <c r="A65" s="277">
        <f t="shared" si="90"/>
        <v>65</v>
      </c>
      <c r="B65" s="793"/>
      <c r="C65" s="791"/>
      <c r="D65" s="5" t="s">
        <v>1354</v>
      </c>
      <c r="E65" s="678">
        <v>471900</v>
      </c>
      <c r="F65" s="12">
        <v>160000</v>
      </c>
      <c r="G65" s="12">
        <v>20000</v>
      </c>
      <c r="H65" s="12">
        <v>50</v>
      </c>
      <c r="I65" s="576">
        <v>10</v>
      </c>
      <c r="J65" s="575">
        <f t="shared" si="91"/>
        <v>10</v>
      </c>
      <c r="K65" s="797" t="s">
        <v>147</v>
      </c>
      <c r="L65" s="594">
        <f t="shared" si="44"/>
        <v>2.6500000000000004</v>
      </c>
      <c r="M65" s="595">
        <f t="shared" si="45"/>
        <v>0.95000000000000007</v>
      </c>
      <c r="N65" s="600">
        <f t="shared" si="46"/>
        <v>1.35</v>
      </c>
      <c r="O65" s="601">
        <f t="shared" si="92"/>
        <v>4.9500000000000011</v>
      </c>
      <c r="P65" s="602">
        <f>MROUND(1/$J65*IF(K65="Petrol",Aannames!$F$65,$E$297),0.05)</f>
        <v>1.25</v>
      </c>
      <c r="Q65" s="594">
        <f t="shared" si="48"/>
        <v>1.4500000000000002</v>
      </c>
      <c r="R65" s="600">
        <f t="shared" si="93"/>
        <v>0.5</v>
      </c>
      <c r="S65" s="601">
        <f t="shared" si="94"/>
        <v>3.2</v>
      </c>
      <c r="T65" s="598">
        <f t="shared" si="95"/>
        <v>6.9000000000000021</v>
      </c>
      <c r="U65" s="599">
        <f t="shared" si="96"/>
        <v>8.1500000000000021</v>
      </c>
      <c r="V65" s="597"/>
      <c r="W65" s="603">
        <f t="shared" si="52"/>
        <v>3.6249999999999998E-2</v>
      </c>
      <c r="X65" s="594">
        <f t="shared" si="97"/>
        <v>0.17</v>
      </c>
      <c r="Y65" s="600">
        <f t="shared" si="54"/>
        <v>0.29062500000000002</v>
      </c>
      <c r="Z65" s="604">
        <f t="shared" si="98"/>
        <v>0.49687500000000007</v>
      </c>
      <c r="AB65" s="78" t="str">
        <f>Aannames!$C$198</f>
        <v>265  R 16</v>
      </c>
      <c r="AC65" s="772">
        <v>5</v>
      </c>
      <c r="AD65" s="80">
        <f t="shared" si="56"/>
        <v>3.4000000000000002E-2</v>
      </c>
    </row>
    <row r="66" spans="1:30">
      <c r="A66" s="277">
        <f t="shared" si="90"/>
        <v>66</v>
      </c>
      <c r="B66" s="793"/>
      <c r="C66" s="794"/>
      <c r="D66" s="153" t="s">
        <v>1355</v>
      </c>
      <c r="E66" s="678">
        <v>529900</v>
      </c>
      <c r="F66" s="12">
        <v>160000</v>
      </c>
      <c r="G66" s="12">
        <v>20000</v>
      </c>
      <c r="H66" s="12">
        <v>50</v>
      </c>
      <c r="I66" s="576">
        <v>10.6</v>
      </c>
      <c r="J66" s="575">
        <f t="shared" ref="J66:J68" si="99">100/I66</f>
        <v>9.433962264150944</v>
      </c>
      <c r="K66" s="120" t="s">
        <v>147</v>
      </c>
      <c r="L66" s="594">
        <f t="shared" si="44"/>
        <v>3</v>
      </c>
      <c r="M66" s="595">
        <f t="shared" si="45"/>
        <v>1.1000000000000001</v>
      </c>
      <c r="N66" s="600">
        <f t="shared" si="46"/>
        <v>1.55</v>
      </c>
      <c r="O66" s="601">
        <f t="shared" ref="O66:O68" si="100">SUM(L66:N66)</f>
        <v>5.6499999999999995</v>
      </c>
      <c r="P66" s="602">
        <f>MROUND(1/$J66*IF(K66="Petrol",Aannames!$F$65,$E$297),0.05)</f>
        <v>1.3</v>
      </c>
      <c r="Q66" s="594">
        <f t="shared" si="48"/>
        <v>1.6500000000000001</v>
      </c>
      <c r="R66" s="600">
        <f t="shared" ref="R66:R68" si="101">MROUND(SUM(Z66),0.05)</f>
        <v>0.5</v>
      </c>
      <c r="S66" s="601">
        <f t="shared" ref="S66:S68" si="102">SUM(P66:R66)</f>
        <v>3.45</v>
      </c>
      <c r="T66" s="598">
        <f t="shared" ref="T66:T68" si="103">U66-P66</f>
        <v>7.8</v>
      </c>
      <c r="U66" s="599">
        <f t="shared" ref="U66:U68" si="104">S66+O66</f>
        <v>9.1</v>
      </c>
      <c r="V66" s="597"/>
      <c r="W66" s="603">
        <f t="shared" si="52"/>
        <v>3.8425000000000001E-2</v>
      </c>
      <c r="X66" s="594">
        <f t="shared" ref="X66:X68" si="105">AC66*AD66</f>
        <v>0.17</v>
      </c>
      <c r="Y66" s="600">
        <f t="shared" si="54"/>
        <v>0.31584250000000003</v>
      </c>
      <c r="Z66" s="604">
        <f t="shared" ref="Z66:Z68" si="106">SUM(W66:Y66)</f>
        <v>0.52426750000000011</v>
      </c>
      <c r="AB66" s="78" t="str">
        <f>Aannames!$C$198</f>
        <v>265  R 16</v>
      </c>
      <c r="AC66" s="772">
        <v>5</v>
      </c>
      <c r="AD66" s="80">
        <f t="shared" si="56"/>
        <v>3.4000000000000002E-2</v>
      </c>
    </row>
    <row r="67" spans="1:30">
      <c r="A67" s="310">
        <f t="shared" si="90"/>
        <v>67</v>
      </c>
      <c r="B67" s="793"/>
      <c r="C67" s="794"/>
      <c r="D67" s="2" t="s">
        <v>1180</v>
      </c>
      <c r="E67" s="678">
        <v>298900</v>
      </c>
      <c r="F67" s="12">
        <v>160000</v>
      </c>
      <c r="G67" s="12">
        <v>20000</v>
      </c>
      <c r="H67" s="12">
        <v>50</v>
      </c>
      <c r="I67" s="576">
        <v>8.3000000000000007</v>
      </c>
      <c r="J67" s="575">
        <f t="shared" si="99"/>
        <v>12.048192771084336</v>
      </c>
      <c r="K67" s="120" t="s">
        <v>147</v>
      </c>
      <c r="L67" s="594">
        <f t="shared" si="44"/>
        <v>1.7000000000000002</v>
      </c>
      <c r="M67" s="595">
        <f t="shared" si="45"/>
        <v>0.60000000000000009</v>
      </c>
      <c r="N67" s="600">
        <f t="shared" si="46"/>
        <v>0.85000000000000009</v>
      </c>
      <c r="O67" s="601">
        <f t="shared" si="100"/>
        <v>3.1500000000000004</v>
      </c>
      <c r="P67" s="602">
        <f>MROUND(1/$J67*IF(K67="Petrol",Aannames!$F$65,$E$297),0.05)</f>
        <v>1</v>
      </c>
      <c r="Q67" s="594">
        <f t="shared" si="48"/>
        <v>0.95000000000000007</v>
      </c>
      <c r="R67" s="600">
        <f t="shared" si="101"/>
        <v>0.4</v>
      </c>
      <c r="S67" s="601">
        <f t="shared" si="102"/>
        <v>2.35</v>
      </c>
      <c r="T67" s="598">
        <f t="shared" si="103"/>
        <v>4.5</v>
      </c>
      <c r="U67" s="599">
        <f t="shared" si="104"/>
        <v>5.5</v>
      </c>
      <c r="V67" s="597"/>
      <c r="W67" s="603">
        <f t="shared" si="52"/>
        <v>3.00875E-2</v>
      </c>
      <c r="X67" s="594">
        <f t="shared" si="105"/>
        <v>0.17</v>
      </c>
      <c r="Y67" s="600">
        <f t="shared" si="54"/>
        <v>0.21500875</v>
      </c>
      <c r="Z67" s="604">
        <f t="shared" si="106"/>
        <v>0.41509625</v>
      </c>
      <c r="AA67" s="69"/>
      <c r="AB67" s="78" t="str">
        <f>Aannames!$C$198</f>
        <v>265  R 16</v>
      </c>
      <c r="AC67" s="772">
        <v>5</v>
      </c>
      <c r="AD67" s="80">
        <f t="shared" si="56"/>
        <v>3.4000000000000002E-2</v>
      </c>
    </row>
    <row r="68" spans="1:30">
      <c r="A68" s="310">
        <f t="shared" si="90"/>
        <v>68</v>
      </c>
      <c r="B68" s="793"/>
      <c r="C68" s="794"/>
      <c r="D68" s="153" t="s">
        <v>1181</v>
      </c>
      <c r="E68" s="678">
        <v>389900</v>
      </c>
      <c r="F68" s="12">
        <v>160000</v>
      </c>
      <c r="G68" s="12">
        <v>20000</v>
      </c>
      <c r="H68" s="12">
        <v>50</v>
      </c>
      <c r="I68" s="576">
        <v>8.3000000000000007</v>
      </c>
      <c r="J68" s="575">
        <f t="shared" si="99"/>
        <v>12.048192771084336</v>
      </c>
      <c r="K68" s="120" t="s">
        <v>147</v>
      </c>
      <c r="L68" s="594">
        <f t="shared" si="44"/>
        <v>2.2000000000000002</v>
      </c>
      <c r="M68" s="595">
        <f t="shared" si="45"/>
        <v>0.8</v>
      </c>
      <c r="N68" s="600">
        <f t="shared" si="46"/>
        <v>1.1500000000000001</v>
      </c>
      <c r="O68" s="601">
        <f t="shared" si="100"/>
        <v>4.1500000000000004</v>
      </c>
      <c r="P68" s="602">
        <f>MROUND(1/$J68*IF(K68="Petrol",Aannames!$F$65,$E$297),0.05)</f>
        <v>1</v>
      </c>
      <c r="Q68" s="594">
        <f t="shared" si="48"/>
        <v>1.2000000000000002</v>
      </c>
      <c r="R68" s="600">
        <f t="shared" si="101"/>
        <v>0.45</v>
      </c>
      <c r="S68" s="601">
        <f t="shared" si="102"/>
        <v>2.6500000000000004</v>
      </c>
      <c r="T68" s="598">
        <f t="shared" si="103"/>
        <v>5.8000000000000007</v>
      </c>
      <c r="U68" s="599">
        <f t="shared" si="104"/>
        <v>6.8000000000000007</v>
      </c>
      <c r="V68" s="597"/>
      <c r="W68" s="603">
        <f t="shared" si="52"/>
        <v>3.00875E-2</v>
      </c>
      <c r="X68" s="594">
        <f t="shared" si="105"/>
        <v>0.17</v>
      </c>
      <c r="Y68" s="600">
        <f t="shared" si="54"/>
        <v>0.24000874999999999</v>
      </c>
      <c r="Z68" s="604">
        <f t="shared" si="106"/>
        <v>0.44009624999999997</v>
      </c>
      <c r="AB68" s="78" t="str">
        <f>Aannames!$C$198</f>
        <v>265  R 16</v>
      </c>
      <c r="AC68" s="772">
        <v>5</v>
      </c>
      <c r="AD68" s="80">
        <f t="shared" si="56"/>
        <v>3.4000000000000002E-2</v>
      </c>
    </row>
    <row r="69" spans="1:30">
      <c r="A69" s="310">
        <f t="shared" si="90"/>
        <v>69</v>
      </c>
      <c r="B69" s="793"/>
      <c r="C69" s="794"/>
      <c r="D69" s="167" t="s">
        <v>1356</v>
      </c>
      <c r="E69" s="678">
        <v>404900</v>
      </c>
      <c r="F69" s="12">
        <v>160000</v>
      </c>
      <c r="G69" s="12">
        <v>20000</v>
      </c>
      <c r="H69" s="12">
        <v>50</v>
      </c>
      <c r="I69" s="576">
        <v>9</v>
      </c>
      <c r="J69" s="575">
        <f t="shared" ref="J69:J74" si="107">100/I69</f>
        <v>11.111111111111111</v>
      </c>
      <c r="K69" s="120" t="s">
        <v>147</v>
      </c>
      <c r="L69" s="594">
        <f t="shared" si="44"/>
        <v>2.3000000000000003</v>
      </c>
      <c r="M69" s="595">
        <f t="shared" si="45"/>
        <v>0.85000000000000009</v>
      </c>
      <c r="N69" s="600">
        <f t="shared" si="46"/>
        <v>1.1500000000000001</v>
      </c>
      <c r="O69" s="601">
        <f t="shared" ref="O69:O74" si="108">SUM(L69:N69)</f>
        <v>4.3000000000000007</v>
      </c>
      <c r="P69" s="602">
        <f>MROUND(1/$J69*IF(K69="Petrol",Aannames!$F$65,$E$297),0.05)</f>
        <v>1.1000000000000001</v>
      </c>
      <c r="Q69" s="594">
        <f t="shared" si="48"/>
        <v>1.25</v>
      </c>
      <c r="R69" s="600">
        <f t="shared" ref="R69:R74" si="109">MROUND(SUM(Z69),0.05)</f>
        <v>0.45</v>
      </c>
      <c r="S69" s="601">
        <f t="shared" ref="S69:S74" si="110">SUM(P69:R69)</f>
        <v>2.8000000000000003</v>
      </c>
      <c r="T69" s="598">
        <f t="shared" ref="T69:T74" si="111">U69-P69</f>
        <v>6.0000000000000018</v>
      </c>
      <c r="U69" s="599">
        <f t="shared" ref="U69:U74" si="112">S69+O69</f>
        <v>7.1000000000000014</v>
      </c>
      <c r="V69" s="597"/>
      <c r="W69" s="603">
        <f t="shared" si="52"/>
        <v>3.2625000000000001E-2</v>
      </c>
      <c r="X69" s="594">
        <f>AC69*AD69</f>
        <v>0.17</v>
      </c>
      <c r="Y69" s="600">
        <f t="shared" si="54"/>
        <v>0.25526249999999995</v>
      </c>
      <c r="Z69" s="604">
        <f>SUM(W69:Y69)</f>
        <v>0.45788749999999995</v>
      </c>
      <c r="AB69" s="78" t="str">
        <f>Aannames!$C$198</f>
        <v>265  R 16</v>
      </c>
      <c r="AC69" s="278">
        <v>5</v>
      </c>
      <c r="AD69" s="80">
        <f t="shared" si="56"/>
        <v>3.4000000000000002E-2</v>
      </c>
    </row>
    <row r="70" spans="1:30">
      <c r="A70" s="310">
        <f t="shared" si="90"/>
        <v>70</v>
      </c>
      <c r="B70" s="793"/>
      <c r="C70" s="794"/>
      <c r="D70" s="167" t="s">
        <v>1357</v>
      </c>
      <c r="E70" s="678">
        <v>431900</v>
      </c>
      <c r="F70" s="12">
        <v>160000</v>
      </c>
      <c r="G70" s="12">
        <v>20000</v>
      </c>
      <c r="H70" s="12">
        <v>50</v>
      </c>
      <c r="I70" s="576">
        <v>8.3000000000000007</v>
      </c>
      <c r="J70" s="575">
        <f t="shared" si="107"/>
        <v>12.048192771084336</v>
      </c>
      <c r="K70" s="120" t="s">
        <v>147</v>
      </c>
      <c r="L70" s="594">
        <f t="shared" si="44"/>
        <v>2.4500000000000002</v>
      </c>
      <c r="M70" s="595">
        <f t="shared" si="45"/>
        <v>0.9</v>
      </c>
      <c r="N70" s="600">
        <f t="shared" si="46"/>
        <v>1.25</v>
      </c>
      <c r="O70" s="601">
        <f t="shared" si="108"/>
        <v>4.5999999999999996</v>
      </c>
      <c r="P70" s="602">
        <f>MROUND(1/$J70*IF(K70="Petrol",Aannames!$F$65,$E$297),0.05)</f>
        <v>1</v>
      </c>
      <c r="Q70" s="594">
        <f t="shared" si="48"/>
        <v>1.35</v>
      </c>
      <c r="R70" s="600">
        <f t="shared" si="109"/>
        <v>0.45</v>
      </c>
      <c r="S70" s="601">
        <f t="shared" si="110"/>
        <v>2.8000000000000003</v>
      </c>
      <c r="T70" s="598">
        <f t="shared" si="111"/>
        <v>6.4</v>
      </c>
      <c r="U70" s="599">
        <f t="shared" si="112"/>
        <v>7.4</v>
      </c>
      <c r="V70" s="597"/>
      <c r="W70" s="603">
        <f t="shared" si="52"/>
        <v>3.00875E-2</v>
      </c>
      <c r="X70" s="594">
        <f>AC70*AD70</f>
        <v>0.17</v>
      </c>
      <c r="Y70" s="600">
        <f t="shared" si="54"/>
        <v>0.25500875000000001</v>
      </c>
      <c r="Z70" s="604">
        <f>SUM(W70:Y70)</f>
        <v>0.45509624999999998</v>
      </c>
      <c r="AB70" s="78" t="str">
        <f>Aannames!$C$198</f>
        <v>265  R 16</v>
      </c>
      <c r="AC70" s="772">
        <v>5</v>
      </c>
      <c r="AD70" s="80">
        <f t="shared" si="56"/>
        <v>3.4000000000000002E-2</v>
      </c>
    </row>
    <row r="71" spans="1:30">
      <c r="A71" s="310">
        <f t="shared" si="90"/>
        <v>71</v>
      </c>
      <c r="B71" s="793"/>
      <c r="C71" s="794"/>
      <c r="D71" s="167" t="s">
        <v>1358</v>
      </c>
      <c r="E71" s="678">
        <v>446900</v>
      </c>
      <c r="F71" s="12">
        <v>160000</v>
      </c>
      <c r="G71" s="12">
        <v>20000</v>
      </c>
      <c r="H71" s="12">
        <v>50</v>
      </c>
      <c r="I71" s="576">
        <v>9.6999999999999993</v>
      </c>
      <c r="J71" s="575">
        <f t="shared" si="107"/>
        <v>10.309278350515465</v>
      </c>
      <c r="K71" s="120" t="s">
        <v>147</v>
      </c>
      <c r="L71" s="594">
        <f t="shared" si="44"/>
        <v>2.5</v>
      </c>
      <c r="M71" s="595">
        <f t="shared" si="45"/>
        <v>0.9</v>
      </c>
      <c r="N71" s="600">
        <f t="shared" si="46"/>
        <v>1.3</v>
      </c>
      <c r="O71" s="601">
        <f t="shared" si="108"/>
        <v>4.7</v>
      </c>
      <c r="P71" s="602">
        <f>MROUND(1/$J71*IF(K71="Petrol",Aannames!$F$65,$E$297),0.05)</f>
        <v>1.2000000000000002</v>
      </c>
      <c r="Q71" s="594">
        <f t="shared" si="48"/>
        <v>1.4000000000000001</v>
      </c>
      <c r="R71" s="600">
        <f t="shared" si="109"/>
        <v>0.5</v>
      </c>
      <c r="S71" s="601">
        <f t="shared" si="110"/>
        <v>3.1000000000000005</v>
      </c>
      <c r="T71" s="598">
        <f t="shared" si="111"/>
        <v>6.6000000000000005</v>
      </c>
      <c r="U71" s="599">
        <f t="shared" si="112"/>
        <v>7.8000000000000007</v>
      </c>
      <c r="V71" s="597"/>
      <c r="W71" s="603">
        <f t="shared" si="52"/>
        <v>3.5162499999999999E-2</v>
      </c>
      <c r="X71" s="594">
        <f t="shared" ref="X71:X74" si="113">AC71*AD71</f>
        <v>0.17</v>
      </c>
      <c r="Y71" s="600">
        <f t="shared" si="54"/>
        <v>0.28051625000000008</v>
      </c>
      <c r="Z71" s="604">
        <f t="shared" ref="Z71:Z74" si="114">SUM(W71:Y71)</f>
        <v>0.4856787500000001</v>
      </c>
      <c r="AB71" s="78" t="str">
        <f>Aannames!$C$198</f>
        <v>265  R 16</v>
      </c>
      <c r="AC71" s="772">
        <v>5</v>
      </c>
      <c r="AD71" s="80">
        <f t="shared" si="56"/>
        <v>3.4000000000000002E-2</v>
      </c>
    </row>
    <row r="72" spans="1:30">
      <c r="A72" s="310">
        <f t="shared" si="90"/>
        <v>72</v>
      </c>
      <c r="B72" s="793"/>
      <c r="C72" s="794"/>
      <c r="D72" s="153" t="s">
        <v>1182</v>
      </c>
      <c r="E72" s="678">
        <v>450900</v>
      </c>
      <c r="F72" s="12">
        <v>160000</v>
      </c>
      <c r="G72" s="12">
        <v>20000</v>
      </c>
      <c r="H72" s="12">
        <v>50</v>
      </c>
      <c r="I72" s="576">
        <v>8.3000000000000007</v>
      </c>
      <c r="J72" s="575">
        <f t="shared" si="107"/>
        <v>12.048192771084336</v>
      </c>
      <c r="K72" s="120" t="s">
        <v>147</v>
      </c>
      <c r="L72" s="594">
        <f t="shared" si="44"/>
        <v>2.5500000000000003</v>
      </c>
      <c r="M72" s="595">
        <f t="shared" si="45"/>
        <v>0.95000000000000007</v>
      </c>
      <c r="N72" s="600">
        <f t="shared" si="46"/>
        <v>1.3</v>
      </c>
      <c r="O72" s="601">
        <f t="shared" si="108"/>
        <v>4.8000000000000007</v>
      </c>
      <c r="P72" s="602">
        <f>MROUND(1/$J72*IF(K72="Petrol",Aannames!$F$65,$E$297),0.05)</f>
        <v>1</v>
      </c>
      <c r="Q72" s="594">
        <f t="shared" si="48"/>
        <v>1.4000000000000001</v>
      </c>
      <c r="R72" s="600">
        <f t="shared" si="109"/>
        <v>0.45</v>
      </c>
      <c r="S72" s="601">
        <f t="shared" si="110"/>
        <v>2.8500000000000005</v>
      </c>
      <c r="T72" s="598">
        <f t="shared" si="111"/>
        <v>6.6500000000000012</v>
      </c>
      <c r="U72" s="599">
        <f t="shared" si="112"/>
        <v>7.6500000000000012</v>
      </c>
      <c r="V72" s="597"/>
      <c r="W72" s="603">
        <f t="shared" si="52"/>
        <v>3.00875E-2</v>
      </c>
      <c r="X72" s="594">
        <f t="shared" si="113"/>
        <v>0.17</v>
      </c>
      <c r="Y72" s="600">
        <f t="shared" si="54"/>
        <v>0.26000875000000007</v>
      </c>
      <c r="Z72" s="604">
        <f t="shared" si="114"/>
        <v>0.4600962500000001</v>
      </c>
      <c r="AB72" s="78" t="str">
        <f>Aannames!$C$198</f>
        <v>265  R 16</v>
      </c>
      <c r="AC72" s="772">
        <v>5</v>
      </c>
      <c r="AD72" s="80">
        <f t="shared" si="56"/>
        <v>3.4000000000000002E-2</v>
      </c>
    </row>
    <row r="73" spans="1:30">
      <c r="A73" s="310">
        <f t="shared" si="90"/>
        <v>73</v>
      </c>
      <c r="B73" s="793"/>
      <c r="C73" s="794"/>
      <c r="D73" s="153" t="s">
        <v>1359</v>
      </c>
      <c r="E73" s="678">
        <v>446900</v>
      </c>
      <c r="F73" s="12">
        <v>160000</v>
      </c>
      <c r="G73" s="12">
        <v>20000</v>
      </c>
      <c r="H73" s="12">
        <v>50</v>
      </c>
      <c r="I73" s="576">
        <v>8.3000000000000007</v>
      </c>
      <c r="J73" s="575">
        <f t="shared" si="107"/>
        <v>12.048192771084336</v>
      </c>
      <c r="K73" s="120" t="s">
        <v>147</v>
      </c>
      <c r="L73" s="594">
        <f t="shared" si="44"/>
        <v>2.5</v>
      </c>
      <c r="M73" s="595">
        <f t="shared" si="45"/>
        <v>0.9</v>
      </c>
      <c r="N73" s="600">
        <f t="shared" si="46"/>
        <v>1.3</v>
      </c>
      <c r="O73" s="601">
        <f t="shared" si="108"/>
        <v>4.7</v>
      </c>
      <c r="P73" s="602">
        <f>MROUND(1/$J73*IF(K73="Petrol",Aannames!$F$65,$E$297),0.05)</f>
        <v>1</v>
      </c>
      <c r="Q73" s="594">
        <f t="shared" si="48"/>
        <v>1.4000000000000001</v>
      </c>
      <c r="R73" s="600">
        <f t="shared" si="109"/>
        <v>0.45</v>
      </c>
      <c r="S73" s="601">
        <f t="shared" si="110"/>
        <v>2.8500000000000005</v>
      </c>
      <c r="T73" s="598">
        <f t="shared" si="111"/>
        <v>6.5500000000000007</v>
      </c>
      <c r="U73" s="599">
        <f t="shared" si="112"/>
        <v>7.5500000000000007</v>
      </c>
      <c r="V73" s="597"/>
      <c r="W73" s="603">
        <f t="shared" si="52"/>
        <v>3.00875E-2</v>
      </c>
      <c r="X73" s="594">
        <f t="shared" si="113"/>
        <v>0.17</v>
      </c>
      <c r="Y73" s="600">
        <f t="shared" si="54"/>
        <v>0.26000875000000007</v>
      </c>
      <c r="Z73" s="604">
        <f t="shared" si="114"/>
        <v>0.4600962500000001</v>
      </c>
      <c r="AB73" s="78" t="str">
        <f>Aannames!$C$198</f>
        <v>265  R 16</v>
      </c>
      <c r="AC73" s="772">
        <v>5</v>
      </c>
      <c r="AD73" s="80">
        <f t="shared" si="56"/>
        <v>3.4000000000000002E-2</v>
      </c>
    </row>
    <row r="74" spans="1:30">
      <c r="A74" s="310">
        <f t="shared" si="90"/>
        <v>74</v>
      </c>
      <c r="B74" s="793"/>
      <c r="C74" s="794"/>
      <c r="D74" s="153" t="s">
        <v>1360</v>
      </c>
      <c r="E74" s="678">
        <v>513900</v>
      </c>
      <c r="F74" s="12">
        <v>160000</v>
      </c>
      <c r="G74" s="12">
        <v>20000</v>
      </c>
      <c r="H74" s="12">
        <v>50</v>
      </c>
      <c r="I74" s="576">
        <v>8.3000000000000007</v>
      </c>
      <c r="J74" s="575">
        <f t="shared" si="107"/>
        <v>12.048192771084336</v>
      </c>
      <c r="K74" s="120" t="s">
        <v>147</v>
      </c>
      <c r="L74" s="594">
        <f t="shared" si="44"/>
        <v>2.9000000000000004</v>
      </c>
      <c r="M74" s="595">
        <f t="shared" si="45"/>
        <v>1.05</v>
      </c>
      <c r="N74" s="600">
        <f t="shared" si="46"/>
        <v>1.5</v>
      </c>
      <c r="O74" s="601">
        <f t="shared" si="108"/>
        <v>5.45</v>
      </c>
      <c r="P74" s="602">
        <f>MROUND(1/$J74*IF(K74="Petrol",Aannames!$F$65,$E$297),0.05)</f>
        <v>1</v>
      </c>
      <c r="Q74" s="594">
        <f t="shared" si="48"/>
        <v>1.6</v>
      </c>
      <c r="R74" s="600">
        <f t="shared" si="109"/>
        <v>0.5</v>
      </c>
      <c r="S74" s="601">
        <f t="shared" si="110"/>
        <v>3.1</v>
      </c>
      <c r="T74" s="598">
        <f t="shared" si="111"/>
        <v>7.5500000000000007</v>
      </c>
      <c r="U74" s="599">
        <f t="shared" si="112"/>
        <v>8.5500000000000007</v>
      </c>
      <c r="V74" s="597"/>
      <c r="W74" s="603">
        <f t="shared" si="52"/>
        <v>3.00875E-2</v>
      </c>
      <c r="X74" s="594">
        <f t="shared" si="113"/>
        <v>0.17</v>
      </c>
      <c r="Y74" s="600">
        <f t="shared" si="54"/>
        <v>0.28000875000000003</v>
      </c>
      <c r="Z74" s="604">
        <f t="shared" si="114"/>
        <v>0.48009625</v>
      </c>
      <c r="AB74" s="78" t="str">
        <f>Aannames!$C$198</f>
        <v>265  R 16</v>
      </c>
      <c r="AC74" s="772">
        <v>5</v>
      </c>
      <c r="AD74" s="80">
        <f t="shared" si="56"/>
        <v>3.4000000000000002E-2</v>
      </c>
    </row>
    <row r="75" spans="1:30">
      <c r="A75" s="310">
        <f t="shared" si="90"/>
        <v>75</v>
      </c>
      <c r="B75" s="793"/>
      <c r="C75" s="794"/>
      <c r="D75" s="153" t="s">
        <v>1361</v>
      </c>
      <c r="E75" s="678">
        <v>529900</v>
      </c>
      <c r="F75" s="12">
        <v>160000</v>
      </c>
      <c r="G75" s="12">
        <v>20000</v>
      </c>
      <c r="H75" s="12">
        <v>50</v>
      </c>
      <c r="I75" s="576">
        <v>9.6999999999999993</v>
      </c>
      <c r="J75" s="575">
        <f t="shared" ref="J75" si="115">100/I75</f>
        <v>10.309278350515465</v>
      </c>
      <c r="K75" s="120" t="s">
        <v>147</v>
      </c>
      <c r="L75" s="594">
        <f t="shared" si="44"/>
        <v>3</v>
      </c>
      <c r="M75" s="595">
        <f t="shared" si="45"/>
        <v>1.1000000000000001</v>
      </c>
      <c r="N75" s="600">
        <f t="shared" si="46"/>
        <v>1.55</v>
      </c>
      <c r="O75" s="601">
        <f t="shared" ref="O75" si="116">SUM(L75:N75)</f>
        <v>5.6499999999999995</v>
      </c>
      <c r="P75" s="602">
        <f>MROUND(1/$J75*IF(K75="Petrol",Aannames!$F$65,$E$297),0.05)</f>
        <v>1.2000000000000002</v>
      </c>
      <c r="Q75" s="594">
        <f t="shared" si="48"/>
        <v>1.6500000000000001</v>
      </c>
      <c r="R75" s="600">
        <f t="shared" ref="R75" si="117">MROUND(SUM(Z75),0.05)</f>
        <v>0.5</v>
      </c>
      <c r="S75" s="601">
        <f t="shared" ref="S75" si="118">SUM(P75:R75)</f>
        <v>3.3500000000000005</v>
      </c>
      <c r="T75" s="598">
        <f t="shared" ref="T75" si="119">U75-P75</f>
        <v>7.8</v>
      </c>
      <c r="U75" s="599">
        <f t="shared" ref="U75" si="120">S75+O75</f>
        <v>9</v>
      </c>
      <c r="V75" s="597"/>
      <c r="W75" s="603">
        <f t="shared" si="52"/>
        <v>3.5162499999999999E-2</v>
      </c>
      <c r="X75" s="594">
        <f t="shared" ref="X75" si="121">AC75*AD75</f>
        <v>0.17</v>
      </c>
      <c r="Y75" s="600">
        <f t="shared" si="54"/>
        <v>0.3055162500000001</v>
      </c>
      <c r="Z75" s="604">
        <f t="shared" ref="Z75" si="122">SUM(W75:Y75)</f>
        <v>0.51067875000000007</v>
      </c>
      <c r="AB75" s="78" t="str">
        <f>Aannames!$C$198</f>
        <v>265  R 16</v>
      </c>
      <c r="AC75" s="772">
        <v>5</v>
      </c>
      <c r="AD75" s="80">
        <f t="shared" si="56"/>
        <v>3.4000000000000002E-2</v>
      </c>
    </row>
    <row r="76" spans="1:30">
      <c r="A76" s="310">
        <f t="shared" ref="A76:A84" si="123">IF(ISNUMBER(E76),ROW(),"")</f>
        <v>76</v>
      </c>
      <c r="B76" s="793"/>
      <c r="C76" s="794"/>
      <c r="D76" s="153" t="s">
        <v>1183</v>
      </c>
      <c r="E76" s="678">
        <v>477900</v>
      </c>
      <c r="F76" s="12">
        <v>160000</v>
      </c>
      <c r="G76" s="12">
        <v>20000</v>
      </c>
      <c r="H76" s="12">
        <v>50</v>
      </c>
      <c r="I76" s="576">
        <v>8.3000000000000007</v>
      </c>
      <c r="J76" s="575">
        <f t="shared" ref="J76:J84" si="124">100/I76</f>
        <v>12.048192771084336</v>
      </c>
      <c r="K76" s="120" t="s">
        <v>147</v>
      </c>
      <c r="L76" s="594">
        <f t="shared" si="44"/>
        <v>2.7</v>
      </c>
      <c r="M76" s="595">
        <f t="shared" si="45"/>
        <v>1</v>
      </c>
      <c r="N76" s="600">
        <f t="shared" si="46"/>
        <v>1.4000000000000001</v>
      </c>
      <c r="O76" s="601">
        <f t="shared" ref="O76:O84" si="125">SUM(L76:N76)</f>
        <v>5.1000000000000005</v>
      </c>
      <c r="P76" s="602">
        <f>MROUND(1/$J76*IF(K76="Petrol",Aannames!$F$65,$E$297),0.05)</f>
        <v>1</v>
      </c>
      <c r="Q76" s="594">
        <f t="shared" si="48"/>
        <v>1.5</v>
      </c>
      <c r="R76" s="600">
        <f t="shared" ref="R76:R84" si="126">MROUND(SUM(Z76),0.05)</f>
        <v>0.45</v>
      </c>
      <c r="S76" s="601">
        <f t="shared" ref="S76:S84" si="127">SUM(P76:R76)</f>
        <v>2.95</v>
      </c>
      <c r="T76" s="598">
        <f t="shared" ref="T76:T84" si="128">U76-P76</f>
        <v>7.0500000000000007</v>
      </c>
      <c r="U76" s="599">
        <f t="shared" ref="U76:U84" si="129">S76+O76</f>
        <v>8.0500000000000007</v>
      </c>
      <c r="V76" s="597"/>
      <c r="W76" s="603">
        <f t="shared" si="52"/>
        <v>3.00875E-2</v>
      </c>
      <c r="X76" s="594">
        <f t="shared" ref="X76:X84" si="130">AC76*AD76</f>
        <v>0.17</v>
      </c>
      <c r="Y76" s="600">
        <f t="shared" si="54"/>
        <v>0.27000875000000002</v>
      </c>
      <c r="Z76" s="604">
        <f t="shared" ref="Z76:Z84" si="131">SUM(W76:Y76)</f>
        <v>0.47009624999999999</v>
      </c>
      <c r="AB76" s="78" t="str">
        <f>Aannames!$C$198</f>
        <v>265  R 16</v>
      </c>
      <c r="AC76" s="772">
        <v>5</v>
      </c>
      <c r="AD76" s="80">
        <f t="shared" si="56"/>
        <v>3.4000000000000002E-2</v>
      </c>
    </row>
    <row r="77" spans="1:30">
      <c r="A77" s="310">
        <f t="shared" si="123"/>
        <v>77</v>
      </c>
      <c r="B77" s="793"/>
      <c r="C77" s="794"/>
      <c r="D77" s="153" t="s">
        <v>1362</v>
      </c>
      <c r="E77" s="678">
        <v>492900</v>
      </c>
      <c r="F77" s="12">
        <v>160000</v>
      </c>
      <c r="G77" s="12">
        <v>20000</v>
      </c>
      <c r="H77" s="12">
        <v>50</v>
      </c>
      <c r="I77" s="576">
        <v>9</v>
      </c>
      <c r="J77" s="575">
        <f t="shared" si="124"/>
        <v>11.111111111111111</v>
      </c>
      <c r="K77" s="120" t="s">
        <v>147</v>
      </c>
      <c r="L77" s="594">
        <f t="shared" si="44"/>
        <v>2.75</v>
      </c>
      <c r="M77" s="595">
        <f t="shared" si="45"/>
        <v>1</v>
      </c>
      <c r="N77" s="600">
        <f t="shared" si="46"/>
        <v>1.4000000000000001</v>
      </c>
      <c r="O77" s="601">
        <f t="shared" si="125"/>
        <v>5.15</v>
      </c>
      <c r="P77" s="602">
        <f>MROUND(1/$J77*IF(K77="Petrol",Aannames!$F$65,$E$297),0.05)</f>
        <v>1.1000000000000001</v>
      </c>
      <c r="Q77" s="594">
        <f t="shared" si="48"/>
        <v>1.55</v>
      </c>
      <c r="R77" s="600">
        <f t="shared" si="126"/>
        <v>0.5</v>
      </c>
      <c r="S77" s="601">
        <f t="shared" si="127"/>
        <v>3.1500000000000004</v>
      </c>
      <c r="T77" s="598">
        <f t="shared" si="128"/>
        <v>7.2000000000000011</v>
      </c>
      <c r="U77" s="599">
        <f t="shared" si="129"/>
        <v>8.3000000000000007</v>
      </c>
      <c r="V77" s="597"/>
      <c r="W77" s="603">
        <f t="shared" si="52"/>
        <v>3.2625000000000001E-2</v>
      </c>
      <c r="X77" s="594">
        <f t="shared" si="130"/>
        <v>0.17</v>
      </c>
      <c r="Y77" s="600">
        <f t="shared" si="54"/>
        <v>0.28526250000000003</v>
      </c>
      <c r="Z77" s="604">
        <f t="shared" si="131"/>
        <v>0.48788750000000003</v>
      </c>
      <c r="AB77" s="78" t="str">
        <f>Aannames!$C$198</f>
        <v>265  R 16</v>
      </c>
      <c r="AC77" s="772">
        <v>5</v>
      </c>
      <c r="AD77" s="80">
        <f t="shared" si="56"/>
        <v>3.4000000000000002E-2</v>
      </c>
    </row>
    <row r="78" spans="1:30">
      <c r="A78" s="310">
        <f t="shared" si="123"/>
        <v>78</v>
      </c>
      <c r="B78" s="793"/>
      <c r="C78" s="794"/>
      <c r="D78" s="153" t="s">
        <v>1184</v>
      </c>
      <c r="E78" s="678">
        <v>515900</v>
      </c>
      <c r="F78" s="12">
        <v>160000</v>
      </c>
      <c r="G78" s="12">
        <v>20000</v>
      </c>
      <c r="H78" s="12">
        <v>50</v>
      </c>
      <c r="I78" s="576">
        <v>9.8000000000000007</v>
      </c>
      <c r="J78" s="575">
        <f t="shared" si="124"/>
        <v>10.204081632653061</v>
      </c>
      <c r="K78" s="120" t="s">
        <v>147</v>
      </c>
      <c r="L78" s="594">
        <f t="shared" si="44"/>
        <v>2.9000000000000004</v>
      </c>
      <c r="M78" s="595">
        <f t="shared" si="45"/>
        <v>1.05</v>
      </c>
      <c r="N78" s="600">
        <f t="shared" si="46"/>
        <v>1.5</v>
      </c>
      <c r="O78" s="601">
        <f t="shared" si="125"/>
        <v>5.45</v>
      </c>
      <c r="P78" s="602">
        <f>MROUND(1/$J78*IF(K78="Petrol",Aannames!$F$65,$E$297),0.05)</f>
        <v>1.2000000000000002</v>
      </c>
      <c r="Q78" s="594">
        <f t="shared" si="48"/>
        <v>1.6</v>
      </c>
      <c r="R78" s="600">
        <f t="shared" si="126"/>
        <v>0.5</v>
      </c>
      <c r="S78" s="601">
        <f t="shared" si="127"/>
        <v>3.3000000000000003</v>
      </c>
      <c r="T78" s="598">
        <f t="shared" si="128"/>
        <v>7.55</v>
      </c>
      <c r="U78" s="599">
        <f t="shared" si="129"/>
        <v>8.75</v>
      </c>
      <c r="V78" s="597"/>
      <c r="W78" s="603">
        <f t="shared" si="52"/>
        <v>3.5525000000000001E-2</v>
      </c>
      <c r="X78" s="594">
        <f t="shared" si="130"/>
        <v>0.17</v>
      </c>
      <c r="Y78" s="600">
        <f t="shared" si="54"/>
        <v>0.3005525</v>
      </c>
      <c r="Z78" s="604">
        <f t="shared" si="131"/>
        <v>0.50607749999999996</v>
      </c>
      <c r="AB78" s="78" t="str">
        <f>Aannames!$C$198</f>
        <v>265  R 16</v>
      </c>
      <c r="AC78" s="772">
        <v>5</v>
      </c>
      <c r="AD78" s="80">
        <f t="shared" si="56"/>
        <v>3.4000000000000002E-2</v>
      </c>
    </row>
    <row r="79" spans="1:30">
      <c r="A79" s="310">
        <f t="shared" si="123"/>
        <v>79</v>
      </c>
      <c r="B79" s="793"/>
      <c r="C79" s="794"/>
      <c r="D79" s="153" t="s">
        <v>1185</v>
      </c>
      <c r="E79" s="678">
        <v>529900</v>
      </c>
      <c r="F79" s="12">
        <v>160000</v>
      </c>
      <c r="G79" s="12">
        <v>20000</v>
      </c>
      <c r="H79" s="12">
        <v>50</v>
      </c>
      <c r="I79" s="576">
        <v>10.199999999999999</v>
      </c>
      <c r="J79" s="575">
        <f t="shared" si="124"/>
        <v>9.8039215686274517</v>
      </c>
      <c r="K79" s="120" t="s">
        <v>147</v>
      </c>
      <c r="L79" s="594">
        <f t="shared" si="44"/>
        <v>3</v>
      </c>
      <c r="M79" s="595">
        <f t="shared" si="45"/>
        <v>1.1000000000000001</v>
      </c>
      <c r="N79" s="600">
        <f t="shared" si="46"/>
        <v>1.55</v>
      </c>
      <c r="O79" s="601">
        <f t="shared" si="125"/>
        <v>5.6499999999999995</v>
      </c>
      <c r="P79" s="602">
        <f>MROUND(1/$J79*IF(K79="Petrol",Aannames!$F$65,$E$297),0.05)</f>
        <v>1.25</v>
      </c>
      <c r="Q79" s="594">
        <f t="shared" si="48"/>
        <v>1.6500000000000001</v>
      </c>
      <c r="R79" s="600">
        <f t="shared" si="126"/>
        <v>0.5</v>
      </c>
      <c r="S79" s="601">
        <f t="shared" si="127"/>
        <v>3.4000000000000004</v>
      </c>
      <c r="T79" s="598">
        <f t="shared" si="128"/>
        <v>7.8000000000000007</v>
      </c>
      <c r="U79" s="599">
        <f t="shared" si="129"/>
        <v>9.0500000000000007</v>
      </c>
      <c r="V79" s="597"/>
      <c r="W79" s="603">
        <f t="shared" si="52"/>
        <v>3.6974999999999994E-2</v>
      </c>
      <c r="X79" s="594">
        <f t="shared" si="130"/>
        <v>0.17</v>
      </c>
      <c r="Y79" s="600">
        <f t="shared" si="54"/>
        <v>0.31069750000000002</v>
      </c>
      <c r="Z79" s="604">
        <f t="shared" si="131"/>
        <v>0.51767249999999998</v>
      </c>
      <c r="AB79" s="78" t="str">
        <f>Aannames!$C$198</f>
        <v>265  R 16</v>
      </c>
      <c r="AC79" s="772">
        <v>5</v>
      </c>
      <c r="AD79" s="80">
        <f t="shared" si="56"/>
        <v>3.4000000000000002E-2</v>
      </c>
    </row>
    <row r="80" spans="1:30">
      <c r="A80" s="310">
        <f t="shared" si="123"/>
        <v>80</v>
      </c>
      <c r="B80" s="793"/>
      <c r="C80" s="794"/>
      <c r="D80" s="153" t="s">
        <v>1363</v>
      </c>
      <c r="E80" s="678">
        <v>573900</v>
      </c>
      <c r="F80" s="12">
        <v>160000</v>
      </c>
      <c r="G80" s="12">
        <v>20000</v>
      </c>
      <c r="H80" s="12">
        <v>50</v>
      </c>
      <c r="I80" s="576">
        <v>10</v>
      </c>
      <c r="J80" s="575">
        <f t="shared" si="124"/>
        <v>10</v>
      </c>
      <c r="K80" s="120" t="s">
        <v>147</v>
      </c>
      <c r="L80" s="594">
        <f t="shared" si="44"/>
        <v>3.25</v>
      </c>
      <c r="M80" s="595">
        <f t="shared" si="45"/>
        <v>1.2000000000000002</v>
      </c>
      <c r="N80" s="600">
        <f t="shared" si="46"/>
        <v>1.6500000000000001</v>
      </c>
      <c r="O80" s="601">
        <f t="shared" si="125"/>
        <v>6.1000000000000005</v>
      </c>
      <c r="P80" s="602">
        <f>MROUND(1/$J80*IF(K80="Petrol",Aannames!$F$65,$E$297),0.05)</f>
        <v>1.25</v>
      </c>
      <c r="Q80" s="594">
        <f t="shared" si="48"/>
        <v>1.8</v>
      </c>
      <c r="R80" s="600">
        <f t="shared" si="126"/>
        <v>0.55000000000000004</v>
      </c>
      <c r="S80" s="601">
        <f t="shared" si="127"/>
        <v>3.5999999999999996</v>
      </c>
      <c r="T80" s="598">
        <f t="shared" si="128"/>
        <v>8.4499999999999993</v>
      </c>
      <c r="U80" s="599">
        <f t="shared" si="129"/>
        <v>9.6999999999999993</v>
      </c>
      <c r="V80" s="597"/>
      <c r="W80" s="603">
        <f t="shared" si="52"/>
        <v>3.6249999999999998E-2</v>
      </c>
      <c r="X80" s="594">
        <f t="shared" si="130"/>
        <v>0.17</v>
      </c>
      <c r="Y80" s="600">
        <f t="shared" si="54"/>
        <v>0.325625</v>
      </c>
      <c r="Z80" s="604">
        <f t="shared" si="131"/>
        <v>0.53187499999999999</v>
      </c>
      <c r="AB80" s="78" t="str">
        <f>Aannames!$C$198</f>
        <v>265  R 16</v>
      </c>
      <c r="AC80" s="772">
        <v>5</v>
      </c>
      <c r="AD80" s="80">
        <f t="shared" si="56"/>
        <v>3.4000000000000002E-2</v>
      </c>
    </row>
    <row r="81" spans="1:30">
      <c r="A81" s="310">
        <f t="shared" si="123"/>
        <v>81</v>
      </c>
      <c r="B81" s="793"/>
      <c r="C81" s="794"/>
      <c r="D81" s="153" t="s">
        <v>1364</v>
      </c>
      <c r="E81" s="678">
        <v>588900</v>
      </c>
      <c r="F81" s="12">
        <v>160000</v>
      </c>
      <c r="G81" s="12">
        <v>20000</v>
      </c>
      <c r="H81" s="12">
        <v>50</v>
      </c>
      <c r="I81" s="576">
        <v>10.8</v>
      </c>
      <c r="J81" s="575">
        <f t="shared" si="124"/>
        <v>9.2592592592592595</v>
      </c>
      <c r="K81" s="120" t="s">
        <v>147</v>
      </c>
      <c r="L81" s="594">
        <f t="shared" si="44"/>
        <v>3.3000000000000003</v>
      </c>
      <c r="M81" s="595">
        <f t="shared" si="45"/>
        <v>1.2000000000000002</v>
      </c>
      <c r="N81" s="600">
        <f t="shared" si="46"/>
        <v>1.7000000000000002</v>
      </c>
      <c r="O81" s="601">
        <f t="shared" si="125"/>
        <v>6.2</v>
      </c>
      <c r="P81" s="602">
        <f>MROUND(1/$J81*IF(K81="Petrol",Aannames!$F$65,$E$297),0.05)</f>
        <v>1.35</v>
      </c>
      <c r="Q81" s="594">
        <f t="shared" si="48"/>
        <v>1.85</v>
      </c>
      <c r="R81" s="600">
        <f t="shared" si="126"/>
        <v>0.55000000000000004</v>
      </c>
      <c r="S81" s="601">
        <f t="shared" si="127"/>
        <v>3.75</v>
      </c>
      <c r="T81" s="598">
        <f t="shared" si="128"/>
        <v>8.6</v>
      </c>
      <c r="U81" s="599">
        <f t="shared" si="129"/>
        <v>9.9499999999999993</v>
      </c>
      <c r="V81" s="597"/>
      <c r="W81" s="603">
        <f t="shared" si="52"/>
        <v>3.9149999999999997E-2</v>
      </c>
      <c r="X81" s="594">
        <f t="shared" si="130"/>
        <v>0.17</v>
      </c>
      <c r="Y81" s="600">
        <f t="shared" si="54"/>
        <v>0.34091499999999997</v>
      </c>
      <c r="Z81" s="604">
        <f t="shared" si="131"/>
        <v>0.55006500000000003</v>
      </c>
      <c r="AB81" s="78" t="str">
        <f>Aannames!$C$198</f>
        <v>265  R 16</v>
      </c>
      <c r="AC81" s="772">
        <v>5</v>
      </c>
      <c r="AD81" s="80">
        <f t="shared" si="56"/>
        <v>3.4000000000000002E-2</v>
      </c>
    </row>
    <row r="82" spans="1:30">
      <c r="A82" s="310">
        <f t="shared" si="123"/>
        <v>82</v>
      </c>
      <c r="B82" s="793"/>
      <c r="C82" s="794"/>
      <c r="D82" s="153" t="s">
        <v>1186</v>
      </c>
      <c r="E82" s="678">
        <v>546900</v>
      </c>
      <c r="F82" s="12">
        <v>160000</v>
      </c>
      <c r="G82" s="12">
        <v>20000</v>
      </c>
      <c r="H82" s="12">
        <v>50</v>
      </c>
      <c r="I82" s="576">
        <v>9.8000000000000007</v>
      </c>
      <c r="J82" s="575">
        <f t="shared" si="124"/>
        <v>10.204081632653061</v>
      </c>
      <c r="K82" s="120" t="s">
        <v>147</v>
      </c>
      <c r="L82" s="594">
        <f t="shared" si="44"/>
        <v>3.1</v>
      </c>
      <c r="M82" s="595">
        <f t="shared" si="45"/>
        <v>1.1500000000000001</v>
      </c>
      <c r="N82" s="600">
        <f t="shared" si="46"/>
        <v>1.6</v>
      </c>
      <c r="O82" s="601">
        <f t="shared" si="125"/>
        <v>5.85</v>
      </c>
      <c r="P82" s="602">
        <f>MROUND(1/$J82*IF(K82="Petrol",Aannames!$F$65,$E$297),0.05)</f>
        <v>1.2000000000000002</v>
      </c>
      <c r="Q82" s="594">
        <f t="shared" si="48"/>
        <v>1.7000000000000002</v>
      </c>
      <c r="R82" s="600">
        <f t="shared" si="126"/>
        <v>0.5</v>
      </c>
      <c r="S82" s="601">
        <f t="shared" si="127"/>
        <v>3.4000000000000004</v>
      </c>
      <c r="T82" s="598">
        <f t="shared" si="128"/>
        <v>8.0500000000000007</v>
      </c>
      <c r="U82" s="599">
        <f t="shared" si="129"/>
        <v>9.25</v>
      </c>
      <c r="V82" s="597"/>
      <c r="W82" s="603">
        <f t="shared" si="52"/>
        <v>3.5525000000000001E-2</v>
      </c>
      <c r="X82" s="594">
        <f t="shared" si="130"/>
        <v>0.17</v>
      </c>
      <c r="Y82" s="600">
        <f t="shared" si="54"/>
        <v>0.31055250000000001</v>
      </c>
      <c r="Z82" s="604">
        <f t="shared" si="131"/>
        <v>0.51607749999999997</v>
      </c>
      <c r="AB82" s="78" t="str">
        <f>Aannames!$C$198</f>
        <v>265  R 16</v>
      </c>
      <c r="AC82" s="772">
        <v>5</v>
      </c>
      <c r="AD82" s="80">
        <f t="shared" si="56"/>
        <v>3.4000000000000002E-2</v>
      </c>
    </row>
    <row r="83" spans="1:30">
      <c r="A83" s="310">
        <f t="shared" si="123"/>
        <v>83</v>
      </c>
      <c r="B83" s="793"/>
      <c r="C83" s="794"/>
      <c r="D83" s="153" t="s">
        <v>1187</v>
      </c>
      <c r="E83" s="678">
        <v>561900</v>
      </c>
      <c r="F83" s="12">
        <v>160000</v>
      </c>
      <c r="G83" s="12">
        <v>20000</v>
      </c>
      <c r="H83" s="12">
        <v>50</v>
      </c>
      <c r="I83" s="576">
        <v>10.199999999999999</v>
      </c>
      <c r="J83" s="575">
        <f t="shared" si="124"/>
        <v>9.8039215686274517</v>
      </c>
      <c r="K83" s="120" t="s">
        <v>147</v>
      </c>
      <c r="L83" s="594">
        <f t="shared" si="44"/>
        <v>3.1500000000000004</v>
      </c>
      <c r="M83" s="595">
        <f t="shared" si="45"/>
        <v>1.1500000000000001</v>
      </c>
      <c r="N83" s="600">
        <f t="shared" si="46"/>
        <v>1.6</v>
      </c>
      <c r="O83" s="601">
        <f t="shared" si="125"/>
        <v>5.9</v>
      </c>
      <c r="P83" s="602">
        <f>MROUND(1/$J83*IF(K83="Petrol",Aannames!$F$65,$E$297),0.05)</f>
        <v>1.25</v>
      </c>
      <c r="Q83" s="594">
        <f t="shared" si="48"/>
        <v>1.75</v>
      </c>
      <c r="R83" s="600">
        <f t="shared" si="126"/>
        <v>0.55000000000000004</v>
      </c>
      <c r="S83" s="601">
        <f t="shared" si="127"/>
        <v>3.55</v>
      </c>
      <c r="T83" s="598">
        <f t="shared" si="128"/>
        <v>8.1999999999999993</v>
      </c>
      <c r="U83" s="599">
        <f t="shared" si="129"/>
        <v>9.4499999999999993</v>
      </c>
      <c r="V83" s="597"/>
      <c r="W83" s="603">
        <f t="shared" si="52"/>
        <v>3.6974999999999994E-2</v>
      </c>
      <c r="X83" s="594">
        <f t="shared" si="130"/>
        <v>0.17</v>
      </c>
      <c r="Y83" s="600">
        <f t="shared" si="54"/>
        <v>0.32069749999999997</v>
      </c>
      <c r="Z83" s="604">
        <f t="shared" si="131"/>
        <v>0.52767249999999999</v>
      </c>
      <c r="AB83" s="78" t="str">
        <f>Aannames!$C$198</f>
        <v>265  R 16</v>
      </c>
      <c r="AC83" s="772">
        <v>5</v>
      </c>
      <c r="AD83" s="80">
        <f t="shared" si="56"/>
        <v>3.4000000000000002E-2</v>
      </c>
    </row>
    <row r="84" spans="1:30">
      <c r="A84" s="310">
        <f t="shared" si="123"/>
        <v>84</v>
      </c>
      <c r="B84" s="793"/>
      <c r="C84" s="794"/>
      <c r="D84" s="153" t="s">
        <v>1188</v>
      </c>
      <c r="E84" s="678">
        <v>616900</v>
      </c>
      <c r="F84" s="12">
        <v>160000</v>
      </c>
      <c r="G84" s="12">
        <v>20000</v>
      </c>
      <c r="H84" s="12">
        <v>50</v>
      </c>
      <c r="I84" s="576">
        <v>10.8</v>
      </c>
      <c r="J84" s="575">
        <f t="shared" si="124"/>
        <v>9.2592592592592595</v>
      </c>
      <c r="K84" s="120" t="s">
        <v>147</v>
      </c>
      <c r="L84" s="594">
        <f t="shared" si="44"/>
        <v>3.45</v>
      </c>
      <c r="M84" s="595">
        <f t="shared" si="45"/>
        <v>1.25</v>
      </c>
      <c r="N84" s="600">
        <f t="shared" si="46"/>
        <v>1.8</v>
      </c>
      <c r="O84" s="601">
        <f t="shared" si="125"/>
        <v>6.5</v>
      </c>
      <c r="P84" s="602">
        <f>MROUND(1/$J84*IF(K84="Petrol",Aannames!$F$65,$E$297),0.05)</f>
        <v>1.35</v>
      </c>
      <c r="Q84" s="594">
        <f t="shared" si="48"/>
        <v>1.9500000000000002</v>
      </c>
      <c r="R84" s="600">
        <f t="shared" si="126"/>
        <v>0.55000000000000004</v>
      </c>
      <c r="S84" s="601">
        <f t="shared" si="127"/>
        <v>3.8500000000000005</v>
      </c>
      <c r="T84" s="598">
        <f t="shared" si="128"/>
        <v>9.0000000000000018</v>
      </c>
      <c r="U84" s="599">
        <f t="shared" si="129"/>
        <v>10.350000000000001</v>
      </c>
      <c r="V84" s="597"/>
      <c r="W84" s="603">
        <f t="shared" si="52"/>
        <v>3.9149999999999997E-2</v>
      </c>
      <c r="X84" s="594">
        <f t="shared" si="130"/>
        <v>0.17</v>
      </c>
      <c r="Y84" s="600">
        <f t="shared" si="54"/>
        <v>0.35091499999999998</v>
      </c>
      <c r="Z84" s="604">
        <f t="shared" si="131"/>
        <v>0.56006500000000004</v>
      </c>
      <c r="AB84" s="78" t="str">
        <f>Aannames!$C$198</f>
        <v>265  R 16</v>
      </c>
      <c r="AC84" s="772">
        <v>5</v>
      </c>
      <c r="AD84" s="80">
        <f t="shared" si="56"/>
        <v>3.4000000000000002E-2</v>
      </c>
    </row>
    <row r="85" spans="1:30" ht="6.75" customHeight="1">
      <c r="A85" s="310" t="str">
        <f>IF(ISNUMBER(E85),ROW(),"")</f>
        <v/>
      </c>
      <c r="C85" s="87"/>
      <c r="D85" s="88"/>
      <c r="E85" s="563"/>
      <c r="F85" s="35"/>
      <c r="G85" s="35"/>
      <c r="H85" s="35"/>
      <c r="I85" s="577"/>
      <c r="J85" s="577"/>
      <c r="K85" s="121"/>
      <c r="L85" s="605"/>
      <c r="M85" s="606"/>
      <c r="N85" s="605"/>
      <c r="O85" s="607"/>
      <c r="P85" s="845"/>
      <c r="Q85" s="605"/>
      <c r="R85" s="605"/>
      <c r="S85" s="607"/>
      <c r="T85" s="608"/>
      <c r="U85" s="609"/>
      <c r="V85" s="597"/>
      <c r="W85" s="610"/>
      <c r="X85" s="611"/>
      <c r="Y85" s="612"/>
      <c r="Z85" s="613"/>
      <c r="AC85" s="772"/>
    </row>
    <row r="86" spans="1:30">
      <c r="A86" s="310"/>
      <c r="B86" s="310"/>
      <c r="C86" s="310"/>
      <c r="D86" s="310"/>
      <c r="E86" s="564"/>
      <c r="F86" s="310"/>
      <c r="G86" s="310"/>
      <c r="H86" s="310"/>
      <c r="I86" s="564"/>
      <c r="J86" s="564"/>
      <c r="K86" s="114"/>
      <c r="L86" s="174"/>
      <c r="M86" s="174"/>
      <c r="N86" s="174"/>
      <c r="O86" s="174"/>
      <c r="P86" s="174"/>
      <c r="Q86" s="174"/>
      <c r="R86" s="174"/>
      <c r="S86" s="174"/>
      <c r="T86" s="614"/>
      <c r="U86" s="174"/>
      <c r="V86" s="174"/>
      <c r="W86" s="174"/>
      <c r="X86" s="174"/>
      <c r="Y86" s="174"/>
      <c r="Z86" s="615"/>
      <c r="AA86" s="310"/>
      <c r="AC86" s="772"/>
    </row>
    <row r="87" spans="1:30" ht="6.75" customHeight="1">
      <c r="A87" s="310" t="str">
        <f>IF(ISNUMBER(E87),ROW(),"")</f>
        <v/>
      </c>
      <c r="B87" s="69"/>
      <c r="C87" s="956"/>
      <c r="D87" s="957"/>
      <c r="E87" s="958"/>
      <c r="F87" s="959"/>
      <c r="G87" s="959"/>
      <c r="H87" s="959"/>
      <c r="I87" s="960"/>
      <c r="J87" s="960"/>
      <c r="K87" s="961"/>
      <c r="L87" s="962"/>
      <c r="M87" s="962"/>
      <c r="N87" s="962"/>
      <c r="O87" s="962"/>
      <c r="P87" s="962"/>
      <c r="Q87" s="962"/>
      <c r="R87" s="962"/>
      <c r="S87" s="962"/>
      <c r="T87" s="963"/>
      <c r="U87" s="964"/>
      <c r="V87" s="587"/>
      <c r="W87" s="965"/>
      <c r="X87" s="962"/>
      <c r="Y87" s="962"/>
      <c r="Z87" s="966"/>
      <c r="AA87" s="69"/>
      <c r="AB87" s="81"/>
      <c r="AC87" s="82"/>
      <c r="AD87" s="83"/>
    </row>
    <row r="88" spans="1:30" ht="15.75">
      <c r="A88" s="310" t="str">
        <f t="shared" si="90"/>
        <v/>
      </c>
      <c r="B88" s="793"/>
      <c r="C88" s="791" t="s">
        <v>1135</v>
      </c>
      <c r="E88" s="678"/>
      <c r="F88" s="12"/>
      <c r="G88" s="12"/>
      <c r="H88" s="12"/>
      <c r="I88" s="576"/>
      <c r="J88" s="575"/>
      <c r="K88" s="120"/>
      <c r="L88" s="594"/>
      <c r="M88" s="595"/>
      <c r="N88" s="600"/>
      <c r="O88" s="601"/>
      <c r="P88" s="602"/>
      <c r="Q88" s="594"/>
      <c r="R88" s="600"/>
      <c r="S88" s="601"/>
      <c r="T88" s="598"/>
      <c r="U88" s="599"/>
      <c r="V88" s="597"/>
      <c r="W88" s="603"/>
      <c r="X88" s="594"/>
      <c r="Y88" s="600"/>
      <c r="Z88" s="604"/>
      <c r="AC88" s="772"/>
    </row>
    <row r="89" spans="1:30">
      <c r="A89" s="310">
        <f t="shared" si="90"/>
        <v>89</v>
      </c>
      <c r="B89" s="793"/>
      <c r="C89" s="794"/>
      <c r="D89" s="153" t="s">
        <v>1136</v>
      </c>
      <c r="E89" s="678">
        <v>236500</v>
      </c>
      <c r="F89" s="12">
        <v>160000</v>
      </c>
      <c r="G89" s="12">
        <v>20000</v>
      </c>
      <c r="H89" s="12">
        <v>50</v>
      </c>
      <c r="I89" s="576">
        <v>9.5</v>
      </c>
      <c r="J89" s="575">
        <f t="shared" ref="J89:J102" si="132">100/I89</f>
        <v>10.526315789473685</v>
      </c>
      <c r="K89" s="120" t="s">
        <v>147</v>
      </c>
      <c r="L89" s="594">
        <f t="shared" ref="L89:L106" si="133">MROUND($E89*(1-$E$295/100)/F89,0.05)</f>
        <v>1.35</v>
      </c>
      <c r="M89" s="595">
        <f t="shared" ref="M89:M106" si="134">MROUND($E89*(1+$E$295/100)/2*$F$304/100/$G89,0.05)</f>
        <v>0.5</v>
      </c>
      <c r="N89" s="600">
        <f t="shared" ref="N89:N106" si="135">MROUND($E89*(1+$E$295/100)/2*$E$296/100/$G89,0.05)</f>
        <v>0.70000000000000007</v>
      </c>
      <c r="O89" s="601">
        <f t="shared" ref="O89:O102" si="136">SUM(L89:N89)</f>
        <v>2.5500000000000003</v>
      </c>
      <c r="P89" s="602">
        <f>MROUND(1/$J89*IF(K89="Petrol",Aannames!$F$65,$E$297),0.05)</f>
        <v>1.1500000000000001</v>
      </c>
      <c r="Q89" s="594">
        <f t="shared" ref="Q89:Q106" si="137">MROUND($E89*$H89/100/$F89,0.05)</f>
        <v>0.75</v>
      </c>
      <c r="R89" s="600">
        <f t="shared" ref="R89:R102" si="138">MROUND(SUM(Z89),0.05)</f>
        <v>0.4</v>
      </c>
      <c r="S89" s="601">
        <f t="shared" ref="S89:S102" si="139">SUM(P89:R89)</f>
        <v>2.3000000000000003</v>
      </c>
      <c r="T89" s="598">
        <f t="shared" ref="T89:T102" si="140">U89-P89</f>
        <v>3.7</v>
      </c>
      <c r="U89" s="599">
        <f t="shared" ref="U89:U102" si="141">S89+O89</f>
        <v>4.8500000000000005</v>
      </c>
      <c r="V89" s="597"/>
      <c r="W89" s="603">
        <f t="shared" ref="W89:W106" si="142">1/$J89*$F$314/100*$K$300</f>
        <v>3.4437499999999996E-2</v>
      </c>
      <c r="X89" s="594">
        <f t="shared" ref="X89:X102" si="143">AC89*AD89</f>
        <v>0.17</v>
      </c>
      <c r="Y89" s="600">
        <f t="shared" ref="Y89:Y106" si="144">SUM(P89,Q89,W89,X89)*$F$308/100</f>
        <v>0.21044374999999998</v>
      </c>
      <c r="Z89" s="604">
        <f t="shared" ref="Z89:Z102" si="145">SUM(W89:Y89)</f>
        <v>0.41488124999999998</v>
      </c>
      <c r="AB89" s="78" t="str">
        <f>Aannames!$C$198</f>
        <v>265  R 16</v>
      </c>
      <c r="AC89" s="772">
        <v>5</v>
      </c>
      <c r="AD89" s="80">
        <f t="shared" ref="AD89:AD106" si="146">$I$320</f>
        <v>3.4000000000000002E-2</v>
      </c>
    </row>
    <row r="90" spans="1:30">
      <c r="A90" s="310">
        <f t="shared" si="90"/>
        <v>90</v>
      </c>
      <c r="B90" s="793"/>
      <c r="C90" s="794"/>
      <c r="D90" s="153" t="s">
        <v>1137</v>
      </c>
      <c r="E90" s="678">
        <v>258800</v>
      </c>
      <c r="F90" s="12">
        <v>160000</v>
      </c>
      <c r="G90" s="12">
        <v>20000</v>
      </c>
      <c r="H90" s="12">
        <v>50</v>
      </c>
      <c r="I90" s="576">
        <v>9.5</v>
      </c>
      <c r="J90" s="575">
        <f t="shared" si="132"/>
        <v>10.526315789473685</v>
      </c>
      <c r="K90" s="120" t="s">
        <v>147</v>
      </c>
      <c r="L90" s="594">
        <f t="shared" si="133"/>
        <v>1.4500000000000002</v>
      </c>
      <c r="M90" s="595">
        <f t="shared" si="134"/>
        <v>0.55000000000000004</v>
      </c>
      <c r="N90" s="600">
        <f t="shared" si="135"/>
        <v>0.75</v>
      </c>
      <c r="O90" s="601">
        <f t="shared" si="136"/>
        <v>2.75</v>
      </c>
      <c r="P90" s="602">
        <f>MROUND(1/$J90*IF(K90="Petrol",Aannames!$F$65,$E$297),0.05)</f>
        <v>1.1500000000000001</v>
      </c>
      <c r="Q90" s="594">
        <f t="shared" si="137"/>
        <v>0.8</v>
      </c>
      <c r="R90" s="600">
        <f t="shared" si="138"/>
        <v>0.4</v>
      </c>
      <c r="S90" s="601">
        <f t="shared" si="139"/>
        <v>2.35</v>
      </c>
      <c r="T90" s="598">
        <f t="shared" si="140"/>
        <v>3.9499999999999993</v>
      </c>
      <c r="U90" s="599">
        <f t="shared" si="141"/>
        <v>5.0999999999999996</v>
      </c>
      <c r="V90" s="597"/>
      <c r="W90" s="603">
        <f t="shared" si="142"/>
        <v>3.4437499999999996E-2</v>
      </c>
      <c r="X90" s="594">
        <f t="shared" si="143"/>
        <v>0.17</v>
      </c>
      <c r="Y90" s="600">
        <f t="shared" si="144"/>
        <v>0.21544375000000002</v>
      </c>
      <c r="Z90" s="604">
        <f t="shared" si="145"/>
        <v>0.41988124999999998</v>
      </c>
      <c r="AB90" s="78" t="str">
        <f>Aannames!$C$198</f>
        <v>265  R 16</v>
      </c>
      <c r="AC90" s="772">
        <v>5</v>
      </c>
      <c r="AD90" s="80">
        <f t="shared" si="146"/>
        <v>3.4000000000000002E-2</v>
      </c>
    </row>
    <row r="91" spans="1:30">
      <c r="A91" s="310">
        <f t="shared" si="90"/>
        <v>91</v>
      </c>
      <c r="B91" s="793"/>
      <c r="C91" s="794"/>
      <c r="D91" s="153" t="s">
        <v>1138</v>
      </c>
      <c r="E91" s="678">
        <v>285600</v>
      </c>
      <c r="F91" s="12">
        <v>160000</v>
      </c>
      <c r="G91" s="12">
        <v>20000</v>
      </c>
      <c r="H91" s="12">
        <v>50</v>
      </c>
      <c r="I91" s="576">
        <v>9.1</v>
      </c>
      <c r="J91" s="575">
        <f t="shared" si="132"/>
        <v>10.989010989010989</v>
      </c>
      <c r="K91" s="120" t="s">
        <v>147</v>
      </c>
      <c r="L91" s="594">
        <f t="shared" si="133"/>
        <v>1.6</v>
      </c>
      <c r="M91" s="595">
        <f t="shared" si="134"/>
        <v>0.60000000000000009</v>
      </c>
      <c r="N91" s="600">
        <f t="shared" si="135"/>
        <v>0.8</v>
      </c>
      <c r="O91" s="601">
        <f t="shared" si="136"/>
        <v>3</v>
      </c>
      <c r="P91" s="602">
        <f>MROUND(1/$J91*IF(K91="Petrol",Aannames!$F$65,$E$297),0.05)</f>
        <v>1.1000000000000001</v>
      </c>
      <c r="Q91" s="594">
        <f t="shared" si="137"/>
        <v>0.9</v>
      </c>
      <c r="R91" s="600">
        <f t="shared" si="138"/>
        <v>0.4</v>
      </c>
      <c r="S91" s="601">
        <f t="shared" si="139"/>
        <v>2.4</v>
      </c>
      <c r="T91" s="598">
        <f t="shared" si="140"/>
        <v>4.3000000000000007</v>
      </c>
      <c r="U91" s="599">
        <f t="shared" si="141"/>
        <v>5.4</v>
      </c>
      <c r="V91" s="597"/>
      <c r="W91" s="603">
        <f t="shared" si="142"/>
        <v>3.2987500000000003E-2</v>
      </c>
      <c r="X91" s="594">
        <f t="shared" si="143"/>
        <v>0.17</v>
      </c>
      <c r="Y91" s="600">
        <f t="shared" si="144"/>
        <v>0.22029874999999996</v>
      </c>
      <c r="Z91" s="604">
        <f t="shared" si="145"/>
        <v>0.42328624999999998</v>
      </c>
      <c r="AB91" s="78" t="str">
        <f>Aannames!$C$198</f>
        <v>265  R 16</v>
      </c>
      <c r="AC91" s="772">
        <v>5</v>
      </c>
      <c r="AD91" s="80">
        <f t="shared" si="146"/>
        <v>3.4000000000000002E-2</v>
      </c>
    </row>
    <row r="92" spans="1:30">
      <c r="A92" s="310">
        <f t="shared" si="90"/>
        <v>92</v>
      </c>
      <c r="B92" s="793"/>
      <c r="C92" s="794"/>
      <c r="D92" s="153" t="s">
        <v>1139</v>
      </c>
      <c r="E92" s="678">
        <v>334500</v>
      </c>
      <c r="F92" s="12">
        <v>160000</v>
      </c>
      <c r="G92" s="12">
        <v>20000</v>
      </c>
      <c r="H92" s="12">
        <v>50</v>
      </c>
      <c r="I92" s="576">
        <v>9.1</v>
      </c>
      <c r="J92" s="575">
        <f t="shared" si="132"/>
        <v>10.989010989010989</v>
      </c>
      <c r="K92" s="120" t="s">
        <v>147</v>
      </c>
      <c r="L92" s="594">
        <f t="shared" si="133"/>
        <v>1.9000000000000001</v>
      </c>
      <c r="M92" s="595">
        <f t="shared" si="134"/>
        <v>0.70000000000000007</v>
      </c>
      <c r="N92" s="600">
        <f t="shared" si="135"/>
        <v>0.95000000000000007</v>
      </c>
      <c r="O92" s="601">
        <f t="shared" si="136"/>
        <v>3.5500000000000003</v>
      </c>
      <c r="P92" s="602">
        <f>MROUND(1/$J92*IF(K92="Petrol",Aannames!$F$65,$E$297),0.05)</f>
        <v>1.1000000000000001</v>
      </c>
      <c r="Q92" s="594">
        <f t="shared" si="137"/>
        <v>1.05</v>
      </c>
      <c r="R92" s="600">
        <f t="shared" si="138"/>
        <v>0.45</v>
      </c>
      <c r="S92" s="601">
        <f t="shared" si="139"/>
        <v>2.6000000000000005</v>
      </c>
      <c r="T92" s="598">
        <f t="shared" si="140"/>
        <v>5.0500000000000007</v>
      </c>
      <c r="U92" s="599">
        <f t="shared" si="141"/>
        <v>6.15</v>
      </c>
      <c r="V92" s="597"/>
      <c r="W92" s="603">
        <f t="shared" si="142"/>
        <v>3.2987500000000003E-2</v>
      </c>
      <c r="X92" s="594">
        <f t="shared" si="143"/>
        <v>0.17</v>
      </c>
      <c r="Y92" s="600">
        <f t="shared" si="144"/>
        <v>0.23529875000000003</v>
      </c>
      <c r="Z92" s="604">
        <f t="shared" si="145"/>
        <v>0.43828625000000004</v>
      </c>
      <c r="AB92" s="78" t="str">
        <f>Aannames!$C$198</f>
        <v>265  R 16</v>
      </c>
      <c r="AC92" s="772">
        <v>5</v>
      </c>
      <c r="AD92" s="80">
        <f t="shared" si="146"/>
        <v>3.4000000000000002E-2</v>
      </c>
    </row>
    <row r="93" spans="1:30">
      <c r="A93" s="310">
        <f t="shared" si="90"/>
        <v>93</v>
      </c>
      <c r="B93" s="793"/>
      <c r="C93" s="794"/>
      <c r="D93" s="153" t="s">
        <v>1140</v>
      </c>
      <c r="E93" s="678">
        <v>392700</v>
      </c>
      <c r="F93" s="12">
        <v>160000</v>
      </c>
      <c r="G93" s="12">
        <v>20000</v>
      </c>
      <c r="H93" s="12">
        <v>50</v>
      </c>
      <c r="I93" s="576">
        <v>9.8000000000000007</v>
      </c>
      <c r="J93" s="575">
        <f t="shared" si="132"/>
        <v>10.204081632653061</v>
      </c>
      <c r="K93" s="120" t="s">
        <v>147</v>
      </c>
      <c r="L93" s="594">
        <f t="shared" si="133"/>
        <v>2.2000000000000002</v>
      </c>
      <c r="M93" s="595">
        <f t="shared" si="134"/>
        <v>0.8</v>
      </c>
      <c r="N93" s="600">
        <f t="shared" si="135"/>
        <v>1.1500000000000001</v>
      </c>
      <c r="O93" s="601">
        <f t="shared" si="136"/>
        <v>4.1500000000000004</v>
      </c>
      <c r="P93" s="602">
        <f>MROUND(1/$J93*IF(K93="Petrol",Aannames!$F$65,$E$297),0.05)</f>
        <v>1.2000000000000002</v>
      </c>
      <c r="Q93" s="594">
        <f t="shared" si="137"/>
        <v>1.25</v>
      </c>
      <c r="R93" s="600">
        <f t="shared" si="138"/>
        <v>0.45</v>
      </c>
      <c r="S93" s="601">
        <f t="shared" si="139"/>
        <v>2.9000000000000004</v>
      </c>
      <c r="T93" s="598">
        <f t="shared" si="140"/>
        <v>5.8500000000000005</v>
      </c>
      <c r="U93" s="599">
        <f t="shared" si="141"/>
        <v>7.0500000000000007</v>
      </c>
      <c r="V93" s="597"/>
      <c r="W93" s="603">
        <f t="shared" si="142"/>
        <v>3.5525000000000001E-2</v>
      </c>
      <c r="X93" s="594">
        <f t="shared" si="143"/>
        <v>0.17</v>
      </c>
      <c r="Y93" s="600">
        <f t="shared" si="144"/>
        <v>0.26555250000000002</v>
      </c>
      <c r="Z93" s="604">
        <f t="shared" si="145"/>
        <v>0.47107750000000004</v>
      </c>
      <c r="AB93" s="78" t="str">
        <f>Aannames!$C$198</f>
        <v>265  R 16</v>
      </c>
      <c r="AC93" s="772">
        <v>5</v>
      </c>
      <c r="AD93" s="80">
        <f t="shared" si="146"/>
        <v>3.4000000000000002E-2</v>
      </c>
    </row>
    <row r="94" spans="1:30">
      <c r="A94" s="310">
        <f t="shared" si="90"/>
        <v>94</v>
      </c>
      <c r="B94" s="793"/>
      <c r="C94" s="794"/>
      <c r="D94" s="153" t="s">
        <v>1141</v>
      </c>
      <c r="E94" s="678">
        <v>384200</v>
      </c>
      <c r="F94" s="12">
        <v>160000</v>
      </c>
      <c r="G94" s="12">
        <v>20000</v>
      </c>
      <c r="H94" s="12">
        <v>50</v>
      </c>
      <c r="I94" s="576">
        <v>9.1999999999999993</v>
      </c>
      <c r="J94" s="575">
        <f t="shared" si="132"/>
        <v>10.869565217391305</v>
      </c>
      <c r="K94" s="120" t="s">
        <v>147</v>
      </c>
      <c r="L94" s="594">
        <f t="shared" si="133"/>
        <v>2.15</v>
      </c>
      <c r="M94" s="595">
        <f t="shared" si="134"/>
        <v>0.8</v>
      </c>
      <c r="N94" s="600">
        <f t="shared" si="135"/>
        <v>1.1000000000000001</v>
      </c>
      <c r="O94" s="601">
        <f t="shared" si="136"/>
        <v>4.0500000000000007</v>
      </c>
      <c r="P94" s="602">
        <f>MROUND(1/$J94*IF(K94="Petrol",Aannames!$F$65,$E$297),0.05)</f>
        <v>1.1500000000000001</v>
      </c>
      <c r="Q94" s="594">
        <f t="shared" si="137"/>
        <v>1.2000000000000002</v>
      </c>
      <c r="R94" s="600">
        <f t="shared" si="138"/>
        <v>0.45</v>
      </c>
      <c r="S94" s="601">
        <f t="shared" si="139"/>
        <v>2.8000000000000007</v>
      </c>
      <c r="T94" s="598">
        <f t="shared" si="140"/>
        <v>5.7000000000000011</v>
      </c>
      <c r="U94" s="599">
        <f t="shared" si="141"/>
        <v>6.8500000000000014</v>
      </c>
      <c r="V94" s="597"/>
      <c r="W94" s="603">
        <f t="shared" si="142"/>
        <v>3.3349999999999998E-2</v>
      </c>
      <c r="X94" s="594">
        <f t="shared" si="143"/>
        <v>0.17</v>
      </c>
      <c r="Y94" s="600">
        <f t="shared" si="144"/>
        <v>0.25533500000000003</v>
      </c>
      <c r="Z94" s="604">
        <f t="shared" si="145"/>
        <v>0.45868500000000001</v>
      </c>
      <c r="AB94" s="78" t="str">
        <f>Aannames!$C$198</f>
        <v>265  R 16</v>
      </c>
      <c r="AC94" s="772">
        <v>5</v>
      </c>
      <c r="AD94" s="80">
        <f t="shared" si="146"/>
        <v>3.4000000000000002E-2</v>
      </c>
    </row>
    <row r="95" spans="1:30">
      <c r="A95" s="310">
        <f t="shared" si="90"/>
        <v>95</v>
      </c>
      <c r="B95" s="793"/>
      <c r="C95" s="794"/>
      <c r="D95" s="2" t="s">
        <v>1142</v>
      </c>
      <c r="E95" s="678">
        <v>445100</v>
      </c>
      <c r="F95" s="12">
        <v>160000</v>
      </c>
      <c r="G95" s="12">
        <v>20000</v>
      </c>
      <c r="H95" s="12">
        <v>50</v>
      </c>
      <c r="I95" s="576">
        <v>9.6999999999999993</v>
      </c>
      <c r="J95" s="575">
        <f t="shared" si="132"/>
        <v>10.309278350515465</v>
      </c>
      <c r="K95" s="120" t="s">
        <v>147</v>
      </c>
      <c r="L95" s="594">
        <f t="shared" si="133"/>
        <v>2.5</v>
      </c>
      <c r="M95" s="595">
        <f t="shared" si="134"/>
        <v>0.9</v>
      </c>
      <c r="N95" s="600">
        <f t="shared" si="135"/>
        <v>1.3</v>
      </c>
      <c r="O95" s="601">
        <f t="shared" si="136"/>
        <v>4.7</v>
      </c>
      <c r="P95" s="602">
        <f>MROUND(1/$J95*IF(K95="Petrol",Aannames!$F$65,$E$297),0.05)</f>
        <v>1.2000000000000002</v>
      </c>
      <c r="Q95" s="594">
        <f t="shared" si="137"/>
        <v>1.4000000000000001</v>
      </c>
      <c r="R95" s="600">
        <f t="shared" si="138"/>
        <v>0.5</v>
      </c>
      <c r="S95" s="601">
        <f t="shared" si="139"/>
        <v>3.1000000000000005</v>
      </c>
      <c r="T95" s="598">
        <f t="shared" si="140"/>
        <v>6.6000000000000005</v>
      </c>
      <c r="U95" s="599">
        <f t="shared" si="141"/>
        <v>7.8000000000000007</v>
      </c>
      <c r="V95" s="597"/>
      <c r="W95" s="603">
        <f t="shared" si="142"/>
        <v>3.5162499999999999E-2</v>
      </c>
      <c r="X95" s="594">
        <f t="shared" si="143"/>
        <v>0.17</v>
      </c>
      <c r="Y95" s="600">
        <f t="shared" si="144"/>
        <v>0.28051625000000008</v>
      </c>
      <c r="Z95" s="604">
        <f t="shared" si="145"/>
        <v>0.4856787500000001</v>
      </c>
      <c r="AA95" s="69"/>
      <c r="AB95" s="78" t="str">
        <f>Aannames!$C$198</f>
        <v>265  R 16</v>
      </c>
      <c r="AC95" s="772">
        <v>5</v>
      </c>
      <c r="AD95" s="80">
        <f t="shared" si="146"/>
        <v>3.4000000000000002E-2</v>
      </c>
    </row>
    <row r="96" spans="1:30">
      <c r="A96" s="310">
        <f t="shared" si="90"/>
        <v>96</v>
      </c>
      <c r="B96" s="69"/>
      <c r="C96" s="89"/>
      <c r="D96" s="2" t="s">
        <v>1389</v>
      </c>
      <c r="E96" s="678">
        <v>337400</v>
      </c>
      <c r="F96" s="12">
        <v>160000</v>
      </c>
      <c r="G96" s="12">
        <v>20000</v>
      </c>
      <c r="H96" s="12">
        <v>50</v>
      </c>
      <c r="I96" s="576">
        <v>9.1</v>
      </c>
      <c r="J96" s="575">
        <f t="shared" si="132"/>
        <v>10.989010989010989</v>
      </c>
      <c r="K96" s="120" t="s">
        <v>147</v>
      </c>
      <c r="L96" s="594">
        <f t="shared" si="133"/>
        <v>1.9000000000000001</v>
      </c>
      <c r="M96" s="595">
        <f t="shared" si="134"/>
        <v>0.70000000000000007</v>
      </c>
      <c r="N96" s="600">
        <f t="shared" si="135"/>
        <v>0.95000000000000007</v>
      </c>
      <c r="O96" s="601">
        <f t="shared" si="136"/>
        <v>3.5500000000000003</v>
      </c>
      <c r="P96" s="602">
        <f>MROUND(1/$J96*IF(K96="Petrol",Aannames!$F$65,$E$297),0.05)</f>
        <v>1.1000000000000001</v>
      </c>
      <c r="Q96" s="594">
        <f t="shared" si="137"/>
        <v>1.05</v>
      </c>
      <c r="R96" s="600">
        <f t="shared" si="138"/>
        <v>0.45</v>
      </c>
      <c r="S96" s="601">
        <f t="shared" si="139"/>
        <v>2.6000000000000005</v>
      </c>
      <c r="T96" s="598">
        <f t="shared" si="140"/>
        <v>5.0500000000000007</v>
      </c>
      <c r="U96" s="599">
        <f t="shared" si="141"/>
        <v>6.15</v>
      </c>
      <c r="V96" s="597"/>
      <c r="W96" s="603">
        <f t="shared" si="142"/>
        <v>3.2987500000000003E-2</v>
      </c>
      <c r="X96" s="594">
        <f t="shared" si="143"/>
        <v>0.17</v>
      </c>
      <c r="Y96" s="600">
        <f t="shared" si="144"/>
        <v>0.23529875000000003</v>
      </c>
      <c r="Z96" s="604">
        <f t="shared" si="145"/>
        <v>0.43828625000000004</v>
      </c>
      <c r="AA96" s="69"/>
      <c r="AB96" s="78" t="str">
        <f>Aannames!$C$198</f>
        <v>265  R 16</v>
      </c>
      <c r="AC96" s="772">
        <v>5</v>
      </c>
      <c r="AD96" s="80">
        <f t="shared" si="146"/>
        <v>3.4000000000000002E-2</v>
      </c>
    </row>
    <row r="97" spans="1:30" ht="15.75">
      <c r="A97" s="310">
        <f t="shared" si="90"/>
        <v>97</v>
      </c>
      <c r="B97" s="90"/>
      <c r="C97" s="791"/>
      <c r="D97" s="5" t="s">
        <v>1390</v>
      </c>
      <c r="E97" s="678">
        <v>418200</v>
      </c>
      <c r="F97" s="12">
        <v>160000</v>
      </c>
      <c r="G97" s="12">
        <v>20000</v>
      </c>
      <c r="H97" s="12">
        <v>50</v>
      </c>
      <c r="I97" s="576">
        <v>9.1999999999999993</v>
      </c>
      <c r="J97" s="575">
        <f t="shared" si="132"/>
        <v>10.869565217391305</v>
      </c>
      <c r="K97" s="120" t="s">
        <v>147</v>
      </c>
      <c r="L97" s="594">
        <f t="shared" si="133"/>
        <v>2.35</v>
      </c>
      <c r="M97" s="595">
        <f t="shared" si="134"/>
        <v>0.85000000000000009</v>
      </c>
      <c r="N97" s="600">
        <f t="shared" si="135"/>
        <v>1.2000000000000002</v>
      </c>
      <c r="O97" s="601">
        <f t="shared" si="136"/>
        <v>4.4000000000000004</v>
      </c>
      <c r="P97" s="602">
        <f>MROUND(1/$J97*IF(K97="Petrol",Aannames!$F$65,$E$297),0.05)</f>
        <v>1.1500000000000001</v>
      </c>
      <c r="Q97" s="594">
        <f t="shared" si="137"/>
        <v>1.3</v>
      </c>
      <c r="R97" s="600">
        <f t="shared" si="138"/>
        <v>0.45</v>
      </c>
      <c r="S97" s="601">
        <f t="shared" si="139"/>
        <v>2.9000000000000004</v>
      </c>
      <c r="T97" s="598">
        <f t="shared" si="140"/>
        <v>6.15</v>
      </c>
      <c r="U97" s="599">
        <f t="shared" si="141"/>
        <v>7.3000000000000007</v>
      </c>
      <c r="V97" s="597"/>
      <c r="W97" s="603">
        <f t="shared" si="142"/>
        <v>3.3349999999999998E-2</v>
      </c>
      <c r="X97" s="594">
        <f t="shared" si="143"/>
        <v>0.17</v>
      </c>
      <c r="Y97" s="600">
        <f t="shared" si="144"/>
        <v>0.26533499999999999</v>
      </c>
      <c r="Z97" s="604">
        <f t="shared" si="145"/>
        <v>0.46868500000000002</v>
      </c>
      <c r="AA97" s="69"/>
      <c r="AB97" s="78" t="str">
        <f>Aannames!$C$198</f>
        <v>265  R 16</v>
      </c>
      <c r="AC97" s="772">
        <v>5</v>
      </c>
      <c r="AD97" s="80">
        <f t="shared" si="146"/>
        <v>3.4000000000000002E-2</v>
      </c>
    </row>
    <row r="98" spans="1:30">
      <c r="A98" s="310">
        <f t="shared" si="90"/>
        <v>98</v>
      </c>
      <c r="B98" s="90"/>
      <c r="C98" s="794"/>
      <c r="D98" s="153" t="s">
        <v>1391</v>
      </c>
      <c r="E98" s="678">
        <v>432200</v>
      </c>
      <c r="F98" s="12">
        <v>160000</v>
      </c>
      <c r="G98" s="12">
        <v>20000</v>
      </c>
      <c r="H98" s="12">
        <v>50</v>
      </c>
      <c r="I98" s="576">
        <v>9.1999999999999993</v>
      </c>
      <c r="J98" s="575">
        <f t="shared" si="132"/>
        <v>10.869565217391305</v>
      </c>
      <c r="K98" s="120" t="s">
        <v>147</v>
      </c>
      <c r="L98" s="594">
        <f t="shared" si="133"/>
        <v>2.4500000000000002</v>
      </c>
      <c r="M98" s="595">
        <f t="shared" si="134"/>
        <v>0.9</v>
      </c>
      <c r="N98" s="600">
        <f t="shared" si="135"/>
        <v>1.25</v>
      </c>
      <c r="O98" s="601">
        <f t="shared" si="136"/>
        <v>4.5999999999999996</v>
      </c>
      <c r="P98" s="602">
        <f>MROUND(1/$J98*IF(K98="Petrol",Aannames!$F$65,$E$297),0.05)</f>
        <v>1.1500000000000001</v>
      </c>
      <c r="Q98" s="594">
        <f t="shared" si="137"/>
        <v>1.35</v>
      </c>
      <c r="R98" s="600">
        <f t="shared" si="138"/>
        <v>0.45</v>
      </c>
      <c r="S98" s="601">
        <f t="shared" si="139"/>
        <v>2.95</v>
      </c>
      <c r="T98" s="598">
        <f t="shared" si="140"/>
        <v>6.3999999999999995</v>
      </c>
      <c r="U98" s="599">
        <f t="shared" si="141"/>
        <v>7.55</v>
      </c>
      <c r="V98" s="597"/>
      <c r="W98" s="603">
        <f t="shared" si="142"/>
        <v>3.3349999999999998E-2</v>
      </c>
      <c r="X98" s="594">
        <f t="shared" si="143"/>
        <v>0.17</v>
      </c>
      <c r="Y98" s="600">
        <f t="shared" si="144"/>
        <v>0.27033499999999999</v>
      </c>
      <c r="Z98" s="604">
        <f t="shared" si="145"/>
        <v>0.47368500000000002</v>
      </c>
      <c r="AB98" s="78" t="str">
        <f>Aannames!$C$198</f>
        <v>265  R 16</v>
      </c>
      <c r="AC98" s="772">
        <v>5</v>
      </c>
      <c r="AD98" s="80">
        <f t="shared" si="146"/>
        <v>3.4000000000000002E-2</v>
      </c>
    </row>
    <row r="99" spans="1:30">
      <c r="A99" s="310">
        <f t="shared" si="90"/>
        <v>99</v>
      </c>
      <c r="B99" s="90"/>
      <c r="C99" s="794"/>
      <c r="D99" s="153" t="s">
        <v>1392</v>
      </c>
      <c r="E99" s="678">
        <v>479200</v>
      </c>
      <c r="F99" s="12">
        <v>160000</v>
      </c>
      <c r="G99" s="12">
        <v>20000</v>
      </c>
      <c r="H99" s="12">
        <v>50</v>
      </c>
      <c r="I99" s="576">
        <v>9.5</v>
      </c>
      <c r="J99" s="575">
        <f t="shared" si="132"/>
        <v>10.526315789473685</v>
      </c>
      <c r="K99" s="120" t="s">
        <v>147</v>
      </c>
      <c r="L99" s="594">
        <f t="shared" si="133"/>
        <v>2.7</v>
      </c>
      <c r="M99" s="595">
        <f t="shared" si="134"/>
        <v>1</v>
      </c>
      <c r="N99" s="600">
        <f t="shared" si="135"/>
        <v>1.4000000000000001</v>
      </c>
      <c r="O99" s="601">
        <f t="shared" si="136"/>
        <v>5.1000000000000005</v>
      </c>
      <c r="P99" s="602">
        <f>MROUND(1/$J99*IF(K99="Petrol",Aannames!$F$65,$E$297),0.05)</f>
        <v>1.1500000000000001</v>
      </c>
      <c r="Q99" s="594">
        <f t="shared" si="137"/>
        <v>1.5</v>
      </c>
      <c r="R99" s="600">
        <f t="shared" si="138"/>
        <v>0.5</v>
      </c>
      <c r="S99" s="601">
        <f t="shared" si="139"/>
        <v>3.1500000000000004</v>
      </c>
      <c r="T99" s="598">
        <f t="shared" si="140"/>
        <v>7.1</v>
      </c>
      <c r="U99" s="599">
        <f t="shared" si="141"/>
        <v>8.25</v>
      </c>
      <c r="V99" s="597"/>
      <c r="W99" s="603">
        <f t="shared" si="142"/>
        <v>3.4437499999999996E-2</v>
      </c>
      <c r="X99" s="594">
        <f t="shared" si="143"/>
        <v>0.17</v>
      </c>
      <c r="Y99" s="600">
        <f t="shared" si="144"/>
        <v>0.28544375</v>
      </c>
      <c r="Z99" s="604">
        <f t="shared" si="145"/>
        <v>0.48988124999999999</v>
      </c>
      <c r="AB99" s="78" t="str">
        <f>Aannames!$C$198</f>
        <v>265  R 16</v>
      </c>
      <c r="AC99" s="772">
        <v>5</v>
      </c>
      <c r="AD99" s="80">
        <f t="shared" si="146"/>
        <v>3.4000000000000002E-2</v>
      </c>
    </row>
    <row r="100" spans="1:30">
      <c r="A100" s="310">
        <f t="shared" si="90"/>
        <v>100</v>
      </c>
      <c r="B100" s="2"/>
      <c r="C100" s="889"/>
      <c r="D100" s="153" t="s">
        <v>1393</v>
      </c>
      <c r="E100" s="678">
        <v>358400</v>
      </c>
      <c r="F100" s="12">
        <v>160000</v>
      </c>
      <c r="G100" s="12">
        <v>20000</v>
      </c>
      <c r="H100" s="12">
        <v>50</v>
      </c>
      <c r="I100" s="576">
        <v>9.1999999999999993</v>
      </c>
      <c r="J100" s="575">
        <f t="shared" si="132"/>
        <v>10.869565217391305</v>
      </c>
      <c r="K100" s="120" t="s">
        <v>147</v>
      </c>
      <c r="L100" s="594">
        <f t="shared" si="133"/>
        <v>2</v>
      </c>
      <c r="M100" s="595">
        <f t="shared" si="134"/>
        <v>0.75</v>
      </c>
      <c r="N100" s="600">
        <f t="shared" si="135"/>
        <v>1.05</v>
      </c>
      <c r="O100" s="601">
        <f t="shared" si="136"/>
        <v>3.8</v>
      </c>
      <c r="P100" s="602">
        <f>MROUND(1/$J100*IF(K100="Petrol",Aannames!$F$65,$E$297),0.05)</f>
        <v>1.1500000000000001</v>
      </c>
      <c r="Q100" s="594">
        <f t="shared" si="137"/>
        <v>1.1000000000000001</v>
      </c>
      <c r="R100" s="600">
        <f t="shared" si="138"/>
        <v>0.45</v>
      </c>
      <c r="S100" s="601">
        <f t="shared" si="139"/>
        <v>2.7</v>
      </c>
      <c r="T100" s="598">
        <f t="shared" si="140"/>
        <v>5.35</v>
      </c>
      <c r="U100" s="599">
        <f t="shared" si="141"/>
        <v>6.5</v>
      </c>
      <c r="V100" s="597"/>
      <c r="W100" s="603">
        <f t="shared" si="142"/>
        <v>3.3349999999999998E-2</v>
      </c>
      <c r="X100" s="594">
        <f t="shared" si="143"/>
        <v>0.17</v>
      </c>
      <c r="Y100" s="600">
        <f t="shared" si="144"/>
        <v>0.245335</v>
      </c>
      <c r="Z100" s="604">
        <f t="shared" si="145"/>
        <v>0.448685</v>
      </c>
      <c r="AB100" s="78" t="str">
        <f>Aannames!$C$198</f>
        <v>265  R 16</v>
      </c>
      <c r="AC100" s="772">
        <v>5</v>
      </c>
      <c r="AD100" s="80">
        <f t="shared" si="146"/>
        <v>3.4000000000000002E-2</v>
      </c>
    </row>
    <row r="101" spans="1:30">
      <c r="A101" s="310">
        <f t="shared" si="90"/>
        <v>101</v>
      </c>
      <c r="B101" s="2"/>
      <c r="C101" s="889"/>
      <c r="D101" s="153" t="s">
        <v>1189</v>
      </c>
      <c r="E101" s="678">
        <v>439600</v>
      </c>
      <c r="F101" s="12">
        <v>160000</v>
      </c>
      <c r="G101" s="12">
        <v>20000</v>
      </c>
      <c r="H101" s="12">
        <v>50</v>
      </c>
      <c r="I101" s="576">
        <v>9.1999999999999993</v>
      </c>
      <c r="J101" s="575">
        <f t="shared" si="132"/>
        <v>10.869565217391305</v>
      </c>
      <c r="K101" s="120" t="s">
        <v>147</v>
      </c>
      <c r="L101" s="594">
        <f t="shared" si="133"/>
        <v>2.4500000000000002</v>
      </c>
      <c r="M101" s="595">
        <f t="shared" si="134"/>
        <v>0.9</v>
      </c>
      <c r="N101" s="600">
        <f t="shared" si="135"/>
        <v>1.25</v>
      </c>
      <c r="O101" s="601">
        <f t="shared" si="136"/>
        <v>4.5999999999999996</v>
      </c>
      <c r="P101" s="602">
        <f>MROUND(1/$J101*IF(K101="Petrol",Aannames!$F$65,$E$297),0.05)</f>
        <v>1.1500000000000001</v>
      </c>
      <c r="Q101" s="594">
        <f t="shared" si="137"/>
        <v>1.35</v>
      </c>
      <c r="R101" s="600">
        <f t="shared" si="138"/>
        <v>0.45</v>
      </c>
      <c r="S101" s="601">
        <f t="shared" si="139"/>
        <v>2.95</v>
      </c>
      <c r="T101" s="598">
        <f t="shared" si="140"/>
        <v>6.3999999999999995</v>
      </c>
      <c r="U101" s="599">
        <f t="shared" si="141"/>
        <v>7.55</v>
      </c>
      <c r="V101" s="597"/>
      <c r="W101" s="603">
        <f t="shared" si="142"/>
        <v>3.3349999999999998E-2</v>
      </c>
      <c r="X101" s="594">
        <f t="shared" si="143"/>
        <v>0.17</v>
      </c>
      <c r="Y101" s="600">
        <f t="shared" si="144"/>
        <v>0.27033499999999999</v>
      </c>
      <c r="Z101" s="604">
        <f t="shared" si="145"/>
        <v>0.47368500000000002</v>
      </c>
      <c r="AB101" s="78" t="str">
        <f>Aannames!$C$198</f>
        <v>265  R 16</v>
      </c>
      <c r="AC101" s="772">
        <v>5</v>
      </c>
      <c r="AD101" s="80">
        <f t="shared" si="146"/>
        <v>3.4000000000000002E-2</v>
      </c>
    </row>
    <row r="102" spans="1:30">
      <c r="A102" s="310">
        <f t="shared" si="90"/>
        <v>102</v>
      </c>
      <c r="B102" s="2"/>
      <c r="C102" s="89"/>
      <c r="D102" s="2" t="s">
        <v>1190</v>
      </c>
      <c r="E102" s="678">
        <v>462000</v>
      </c>
      <c r="F102" s="12">
        <v>160000</v>
      </c>
      <c r="G102" s="12">
        <v>20000</v>
      </c>
      <c r="H102" s="12">
        <v>50</v>
      </c>
      <c r="I102" s="576">
        <v>9.5</v>
      </c>
      <c r="J102" s="575">
        <f t="shared" si="132"/>
        <v>10.526315789473685</v>
      </c>
      <c r="K102" s="120" t="s">
        <v>147</v>
      </c>
      <c r="L102" s="594">
        <f t="shared" si="133"/>
        <v>2.6</v>
      </c>
      <c r="M102" s="595">
        <f t="shared" si="134"/>
        <v>0.95000000000000007</v>
      </c>
      <c r="N102" s="600">
        <f t="shared" si="135"/>
        <v>1.35</v>
      </c>
      <c r="O102" s="601">
        <f t="shared" si="136"/>
        <v>4.9000000000000004</v>
      </c>
      <c r="P102" s="602">
        <f>MROUND(1/$J102*IF(K102="Petrol",Aannames!$F$65,$E$297),0.05)</f>
        <v>1.1500000000000001</v>
      </c>
      <c r="Q102" s="594">
        <f t="shared" si="137"/>
        <v>1.4500000000000002</v>
      </c>
      <c r="R102" s="600">
        <f t="shared" si="138"/>
        <v>0.5</v>
      </c>
      <c r="S102" s="601">
        <f t="shared" si="139"/>
        <v>3.1000000000000005</v>
      </c>
      <c r="T102" s="598">
        <f t="shared" si="140"/>
        <v>6.85</v>
      </c>
      <c r="U102" s="599">
        <f t="shared" si="141"/>
        <v>8</v>
      </c>
      <c r="V102" s="597"/>
      <c r="W102" s="603">
        <f t="shared" si="142"/>
        <v>3.4437499999999996E-2</v>
      </c>
      <c r="X102" s="594">
        <f t="shared" si="143"/>
        <v>0.17</v>
      </c>
      <c r="Y102" s="600">
        <f t="shared" si="144"/>
        <v>0.28044375000000005</v>
      </c>
      <c r="Z102" s="604">
        <f t="shared" si="145"/>
        <v>0.48488125000000004</v>
      </c>
      <c r="AB102" s="78" t="str">
        <f>Aannames!$C$198</f>
        <v>265  R 16</v>
      </c>
      <c r="AC102" s="772">
        <v>5</v>
      </c>
      <c r="AD102" s="80">
        <f t="shared" si="146"/>
        <v>3.4000000000000002E-2</v>
      </c>
    </row>
    <row r="103" spans="1:30">
      <c r="A103" s="310">
        <f t="shared" ref="A103:A106" si="147">IF(ISNUMBER(E103),ROW(),"")</f>
        <v>103</v>
      </c>
      <c r="B103" s="2"/>
      <c r="C103" s="89"/>
      <c r="D103" s="2" t="s">
        <v>1394</v>
      </c>
      <c r="E103" s="678">
        <v>486900</v>
      </c>
      <c r="F103" s="12">
        <v>160000</v>
      </c>
      <c r="G103" s="12">
        <v>20000</v>
      </c>
      <c r="H103" s="12">
        <v>50</v>
      </c>
      <c r="I103" s="576">
        <v>9.4</v>
      </c>
      <c r="J103" s="575">
        <f t="shared" ref="J103:J106" si="148">100/I103</f>
        <v>10.638297872340425</v>
      </c>
      <c r="K103" s="120" t="s">
        <v>147</v>
      </c>
      <c r="L103" s="594">
        <f t="shared" si="133"/>
        <v>2.75</v>
      </c>
      <c r="M103" s="595">
        <f t="shared" si="134"/>
        <v>1</v>
      </c>
      <c r="N103" s="600">
        <f t="shared" si="135"/>
        <v>1.4000000000000001</v>
      </c>
      <c r="O103" s="601">
        <f t="shared" ref="O103:O106" si="149">SUM(L103:N103)</f>
        <v>5.15</v>
      </c>
      <c r="P103" s="602">
        <f>MROUND(1/$J103*IF(K103="Petrol",Aannames!$F$65,$E$297),0.05)</f>
        <v>1.1500000000000001</v>
      </c>
      <c r="Q103" s="594">
        <f t="shared" si="137"/>
        <v>1.5</v>
      </c>
      <c r="R103" s="600">
        <f t="shared" ref="R103:R106" si="150">MROUND(SUM(Z103),0.05)</f>
        <v>0.5</v>
      </c>
      <c r="S103" s="601">
        <f t="shared" ref="S103:S106" si="151">SUM(P103:R103)</f>
        <v>3.1500000000000004</v>
      </c>
      <c r="T103" s="598">
        <f t="shared" ref="T103:T106" si="152">U103-P103</f>
        <v>7.15</v>
      </c>
      <c r="U103" s="599">
        <f t="shared" ref="U103:U106" si="153">S103+O103</f>
        <v>8.3000000000000007</v>
      </c>
      <c r="V103" s="597"/>
      <c r="W103" s="603">
        <f t="shared" si="142"/>
        <v>3.4075000000000001E-2</v>
      </c>
      <c r="X103" s="594">
        <f t="shared" ref="X103:X106" si="154">AC103*AD103</f>
        <v>0.17</v>
      </c>
      <c r="Y103" s="600">
        <f t="shared" si="144"/>
        <v>0.28540750000000004</v>
      </c>
      <c r="Z103" s="604">
        <f t="shared" ref="Z103:Z106" si="155">SUM(W103:Y103)</f>
        <v>0.48948250000000004</v>
      </c>
      <c r="AB103" s="78" t="str">
        <f>Aannames!$C$198</f>
        <v>265  R 16</v>
      </c>
      <c r="AC103" s="772">
        <v>5</v>
      </c>
      <c r="AD103" s="80">
        <f t="shared" si="146"/>
        <v>3.4000000000000002E-2</v>
      </c>
    </row>
    <row r="104" spans="1:30">
      <c r="A104" s="310">
        <f t="shared" si="147"/>
        <v>104</v>
      </c>
      <c r="B104" s="2"/>
      <c r="C104" s="89"/>
      <c r="D104" s="2" t="s">
        <v>1395</v>
      </c>
      <c r="E104" s="678">
        <v>501200</v>
      </c>
      <c r="F104" s="12">
        <v>160000</v>
      </c>
      <c r="G104" s="12">
        <v>20000</v>
      </c>
      <c r="H104" s="12">
        <v>50</v>
      </c>
      <c r="I104" s="576">
        <v>9.1999999999999993</v>
      </c>
      <c r="J104" s="575">
        <f t="shared" si="148"/>
        <v>10.869565217391305</v>
      </c>
      <c r="K104" s="120" t="s">
        <v>147</v>
      </c>
      <c r="L104" s="594">
        <f t="shared" si="133"/>
        <v>2.8000000000000003</v>
      </c>
      <c r="M104" s="595">
        <f t="shared" si="134"/>
        <v>1.05</v>
      </c>
      <c r="N104" s="600">
        <f t="shared" si="135"/>
        <v>1.4500000000000002</v>
      </c>
      <c r="O104" s="601">
        <f t="shared" si="149"/>
        <v>5.3000000000000007</v>
      </c>
      <c r="P104" s="602">
        <f>MROUND(1/$J104*IF(K104="Petrol",Aannames!$F$65,$E$297),0.05)</f>
        <v>1.1500000000000001</v>
      </c>
      <c r="Q104" s="594">
        <f t="shared" si="137"/>
        <v>1.55</v>
      </c>
      <c r="R104" s="600">
        <f t="shared" si="150"/>
        <v>0.5</v>
      </c>
      <c r="S104" s="601">
        <f t="shared" si="151"/>
        <v>3.2</v>
      </c>
      <c r="T104" s="598">
        <f t="shared" si="152"/>
        <v>7.35</v>
      </c>
      <c r="U104" s="599">
        <f t="shared" si="153"/>
        <v>8.5</v>
      </c>
      <c r="V104" s="597"/>
      <c r="W104" s="603">
        <f t="shared" si="142"/>
        <v>3.3349999999999998E-2</v>
      </c>
      <c r="X104" s="594">
        <f t="shared" si="154"/>
        <v>0.17</v>
      </c>
      <c r="Y104" s="600">
        <f t="shared" si="144"/>
        <v>0.29033500000000001</v>
      </c>
      <c r="Z104" s="604">
        <f t="shared" si="155"/>
        <v>0.49368500000000004</v>
      </c>
      <c r="AB104" s="78" t="str">
        <f>Aannames!$C$198</f>
        <v>265  R 16</v>
      </c>
      <c r="AC104" s="772">
        <v>5</v>
      </c>
      <c r="AD104" s="80">
        <f t="shared" si="146"/>
        <v>3.4000000000000002E-2</v>
      </c>
    </row>
    <row r="105" spans="1:30">
      <c r="A105" s="310">
        <f t="shared" si="147"/>
        <v>105</v>
      </c>
      <c r="B105" s="2"/>
      <c r="C105" s="89"/>
      <c r="D105" s="2" t="s">
        <v>1396</v>
      </c>
      <c r="E105" s="678">
        <v>549800</v>
      </c>
      <c r="F105" s="12">
        <v>160000</v>
      </c>
      <c r="G105" s="12">
        <v>20000</v>
      </c>
      <c r="H105" s="12">
        <v>50</v>
      </c>
      <c r="I105" s="576">
        <v>9.48</v>
      </c>
      <c r="J105" s="575">
        <f t="shared" si="148"/>
        <v>10.548523206751055</v>
      </c>
      <c r="K105" s="120" t="s">
        <v>147</v>
      </c>
      <c r="L105" s="594">
        <f t="shared" si="133"/>
        <v>3.1</v>
      </c>
      <c r="M105" s="595">
        <f t="shared" si="134"/>
        <v>1.1500000000000001</v>
      </c>
      <c r="N105" s="600">
        <f t="shared" si="135"/>
        <v>1.6</v>
      </c>
      <c r="O105" s="601">
        <f t="shared" si="149"/>
        <v>5.85</v>
      </c>
      <c r="P105" s="602">
        <f>MROUND(1/$J105*IF(K105="Petrol",Aannames!$F$65,$E$297),0.05)</f>
        <v>1.1500000000000001</v>
      </c>
      <c r="Q105" s="594">
        <f t="shared" si="137"/>
        <v>1.7000000000000002</v>
      </c>
      <c r="R105" s="600">
        <f t="shared" si="150"/>
        <v>0.5</v>
      </c>
      <c r="S105" s="601">
        <f t="shared" si="151"/>
        <v>3.3500000000000005</v>
      </c>
      <c r="T105" s="598">
        <f t="shared" si="152"/>
        <v>8.0499999999999989</v>
      </c>
      <c r="U105" s="599">
        <f t="shared" si="153"/>
        <v>9.1999999999999993</v>
      </c>
      <c r="V105" s="597"/>
      <c r="W105" s="603">
        <f t="shared" si="142"/>
        <v>3.4365E-2</v>
      </c>
      <c r="X105" s="594">
        <f t="shared" si="154"/>
        <v>0.17</v>
      </c>
      <c r="Y105" s="600">
        <f t="shared" si="144"/>
        <v>0.30543650000000006</v>
      </c>
      <c r="Z105" s="604">
        <f t="shared" si="155"/>
        <v>0.50980150000000002</v>
      </c>
      <c r="AB105" s="78" t="str">
        <f>Aannames!$C$198</f>
        <v>265  R 16</v>
      </c>
      <c r="AC105" s="772">
        <v>5</v>
      </c>
      <c r="AD105" s="80">
        <f t="shared" si="146"/>
        <v>3.4000000000000002E-2</v>
      </c>
    </row>
    <row r="106" spans="1:30">
      <c r="A106" s="310">
        <f t="shared" si="147"/>
        <v>106</v>
      </c>
      <c r="B106" s="2"/>
      <c r="C106" s="89"/>
      <c r="D106" s="2" t="s">
        <v>1397</v>
      </c>
      <c r="E106" s="678">
        <v>563500</v>
      </c>
      <c r="F106" s="12">
        <v>160000</v>
      </c>
      <c r="G106" s="12">
        <v>20000</v>
      </c>
      <c r="H106" s="12">
        <v>50</v>
      </c>
      <c r="I106" s="576">
        <v>9.5</v>
      </c>
      <c r="J106" s="575">
        <f t="shared" si="148"/>
        <v>10.526315789473685</v>
      </c>
      <c r="K106" s="120" t="s">
        <v>147</v>
      </c>
      <c r="L106" s="594">
        <f t="shared" si="133"/>
        <v>3.1500000000000004</v>
      </c>
      <c r="M106" s="595">
        <f t="shared" si="134"/>
        <v>1.1500000000000001</v>
      </c>
      <c r="N106" s="600">
        <f t="shared" si="135"/>
        <v>1.6500000000000001</v>
      </c>
      <c r="O106" s="601">
        <f t="shared" si="149"/>
        <v>5.9500000000000011</v>
      </c>
      <c r="P106" s="602">
        <f>MROUND(1/$J106*IF(K106="Petrol",Aannames!$F$65,$E$297),0.05)</f>
        <v>1.1500000000000001</v>
      </c>
      <c r="Q106" s="594">
        <f t="shared" si="137"/>
        <v>1.75</v>
      </c>
      <c r="R106" s="600">
        <f t="shared" si="150"/>
        <v>0.5</v>
      </c>
      <c r="S106" s="601">
        <f t="shared" si="151"/>
        <v>3.4000000000000004</v>
      </c>
      <c r="T106" s="598">
        <f t="shared" si="152"/>
        <v>8.2000000000000011</v>
      </c>
      <c r="U106" s="599">
        <f t="shared" si="153"/>
        <v>9.3500000000000014</v>
      </c>
      <c r="V106" s="597"/>
      <c r="W106" s="603">
        <f t="shared" si="142"/>
        <v>3.4437499999999996E-2</v>
      </c>
      <c r="X106" s="594">
        <f t="shared" si="154"/>
        <v>0.17</v>
      </c>
      <c r="Y106" s="600">
        <f t="shared" si="144"/>
        <v>0.31044375000000002</v>
      </c>
      <c r="Z106" s="604">
        <f t="shared" si="155"/>
        <v>0.51488124999999996</v>
      </c>
      <c r="AB106" s="78" t="str">
        <f>Aannames!$C$198</f>
        <v>265  R 16</v>
      </c>
      <c r="AC106" s="772">
        <v>5</v>
      </c>
      <c r="AD106" s="80">
        <f t="shared" si="146"/>
        <v>3.4000000000000002E-2</v>
      </c>
    </row>
    <row r="107" spans="1:30">
      <c r="A107" s="310"/>
      <c r="B107" s="2"/>
      <c r="C107" s="89"/>
      <c r="D107" s="2"/>
      <c r="E107" s="678"/>
      <c r="F107" s="12"/>
      <c r="G107" s="12"/>
      <c r="H107" s="12"/>
      <c r="I107" s="576"/>
      <c r="J107" s="575"/>
      <c r="K107" s="120"/>
      <c r="L107" s="594"/>
      <c r="M107" s="595"/>
      <c r="N107" s="600"/>
      <c r="O107" s="601"/>
      <c r="P107" s="602"/>
      <c r="Q107" s="594"/>
      <c r="R107" s="600"/>
      <c r="S107" s="601"/>
      <c r="T107" s="598"/>
      <c r="U107" s="599"/>
      <c r="V107" s="597"/>
      <c r="W107" s="603"/>
      <c r="X107" s="594"/>
      <c r="Y107" s="600"/>
      <c r="Z107" s="604"/>
      <c r="AC107" s="772"/>
    </row>
    <row r="108" spans="1:30" ht="15.75">
      <c r="A108" s="310" t="str">
        <f t="shared" si="90"/>
        <v/>
      </c>
      <c r="C108" s="791" t="s">
        <v>1398</v>
      </c>
      <c r="E108" s="678"/>
      <c r="F108" s="12"/>
      <c r="G108" s="12"/>
      <c r="H108" s="12"/>
      <c r="I108" s="576"/>
      <c r="J108" s="575"/>
      <c r="K108" s="120"/>
      <c r="L108" s="594"/>
      <c r="M108" s="595"/>
      <c r="N108" s="600"/>
      <c r="O108" s="601"/>
      <c r="P108" s="602"/>
      <c r="Q108" s="594"/>
      <c r="R108" s="600"/>
      <c r="S108" s="601"/>
      <c r="T108" s="598"/>
      <c r="U108" s="599"/>
      <c r="V108" s="597"/>
      <c r="W108" s="603"/>
      <c r="X108" s="594"/>
      <c r="Y108" s="600"/>
      <c r="Z108" s="604"/>
      <c r="AC108" s="772"/>
    </row>
    <row r="109" spans="1:30">
      <c r="A109" s="310">
        <f t="shared" si="90"/>
        <v>109</v>
      </c>
      <c r="C109" s="795"/>
      <c r="D109" s="167" t="s">
        <v>1399</v>
      </c>
      <c r="E109" s="678">
        <v>174880</v>
      </c>
      <c r="F109" s="12">
        <v>160000</v>
      </c>
      <c r="G109" s="12">
        <v>20000</v>
      </c>
      <c r="H109" s="12">
        <v>50</v>
      </c>
      <c r="I109" s="576">
        <v>9.6</v>
      </c>
      <c r="J109" s="575">
        <f t="shared" ref="J109:J112" si="156">100/I109</f>
        <v>10.416666666666668</v>
      </c>
      <c r="K109" s="120" t="s">
        <v>147</v>
      </c>
      <c r="L109" s="594">
        <f t="shared" ref="L109:L118" si="157">MROUND($E109*(1-$E$295/100)/F109,0.05)</f>
        <v>1</v>
      </c>
      <c r="M109" s="595">
        <f t="shared" ref="M109:M118" si="158">MROUND($E109*(1+$E$295/100)/2*$F$304/100/$G109,0.05)</f>
        <v>0.35000000000000003</v>
      </c>
      <c r="N109" s="600">
        <f t="shared" ref="N109:N118" si="159">MROUND($E109*(1+$E$295/100)/2*$E$296/100/$G109,0.05)</f>
        <v>0.5</v>
      </c>
      <c r="O109" s="601">
        <f t="shared" ref="O109:O112" si="160">SUM(L109:N109)</f>
        <v>1.85</v>
      </c>
      <c r="P109" s="602">
        <f>MROUND(1/$J109*IF(K109="Petrol",Aannames!$F$65,$E$297),0.05)</f>
        <v>1.2000000000000002</v>
      </c>
      <c r="Q109" s="594">
        <f t="shared" ref="Q109:Q118" si="161">MROUND($E109*$H109/100/$F109,0.05)</f>
        <v>0.55000000000000004</v>
      </c>
      <c r="R109" s="600">
        <f t="shared" ref="R109:R112" si="162">MROUND(SUM(Z109),0.05)</f>
        <v>0.4</v>
      </c>
      <c r="S109" s="601">
        <f t="shared" ref="S109:S112" si="163">SUM(P109:R109)</f>
        <v>2.1500000000000004</v>
      </c>
      <c r="T109" s="598">
        <f t="shared" ref="T109:T112" si="164">U109-P109</f>
        <v>2.8</v>
      </c>
      <c r="U109" s="599">
        <f t="shared" ref="U109:U112" si="165">S109+O109</f>
        <v>4</v>
      </c>
      <c r="V109" s="597"/>
      <c r="W109" s="603">
        <f t="shared" ref="W109:W118" si="166">1/$J109*$F$314/100*$K$300</f>
        <v>3.4799999999999998E-2</v>
      </c>
      <c r="X109" s="594">
        <f t="shared" ref="X109:X112" si="167">AC109*AD109</f>
        <v>0.17</v>
      </c>
      <c r="Y109" s="600">
        <f t="shared" ref="Y109:Y118" si="168">SUM(P109,Q109,W109,X109)*$F$308/100</f>
        <v>0.19548000000000001</v>
      </c>
      <c r="Z109" s="604">
        <f t="shared" ref="Z109:Z112" si="169">SUM(W109:Y109)</f>
        <v>0.40028000000000002</v>
      </c>
      <c r="AB109" s="78" t="str">
        <f>Aannames!$C$198</f>
        <v>265  R 16</v>
      </c>
      <c r="AC109" s="278">
        <v>5</v>
      </c>
      <c r="AD109" s="80">
        <f t="shared" ref="AD109:AD118" si="170">$I$320</f>
        <v>3.4000000000000002E-2</v>
      </c>
    </row>
    <row r="110" spans="1:30">
      <c r="A110" s="310">
        <f t="shared" si="90"/>
        <v>110</v>
      </c>
      <c r="C110" s="795"/>
      <c r="D110" s="167" t="s">
        <v>1400</v>
      </c>
      <c r="E110" s="678">
        <v>184880</v>
      </c>
      <c r="F110" s="12">
        <v>160000</v>
      </c>
      <c r="G110" s="12">
        <v>20000</v>
      </c>
      <c r="H110" s="12">
        <v>50</v>
      </c>
      <c r="I110" s="576">
        <v>9.6</v>
      </c>
      <c r="J110" s="575">
        <f t="shared" si="156"/>
        <v>10.416666666666668</v>
      </c>
      <c r="K110" s="120" t="s">
        <v>147</v>
      </c>
      <c r="L110" s="594">
        <f t="shared" si="157"/>
        <v>1.05</v>
      </c>
      <c r="M110" s="595">
        <f t="shared" si="158"/>
        <v>0.4</v>
      </c>
      <c r="N110" s="600">
        <f t="shared" si="159"/>
        <v>0.55000000000000004</v>
      </c>
      <c r="O110" s="601">
        <f t="shared" si="160"/>
        <v>2</v>
      </c>
      <c r="P110" s="602">
        <f>MROUND(1/$J110*IF(K110="Petrol",Aannames!$F$65,$E$297),0.05)</f>
        <v>1.2000000000000002</v>
      </c>
      <c r="Q110" s="594">
        <f t="shared" si="161"/>
        <v>0.60000000000000009</v>
      </c>
      <c r="R110" s="600">
        <f t="shared" si="162"/>
        <v>0.4</v>
      </c>
      <c r="S110" s="601">
        <f t="shared" si="163"/>
        <v>2.2000000000000002</v>
      </c>
      <c r="T110" s="598">
        <f t="shared" si="164"/>
        <v>3</v>
      </c>
      <c r="U110" s="599">
        <f t="shared" si="165"/>
        <v>4.2</v>
      </c>
      <c r="V110" s="597"/>
      <c r="W110" s="603">
        <f t="shared" si="166"/>
        <v>3.4799999999999998E-2</v>
      </c>
      <c r="X110" s="594">
        <f t="shared" si="167"/>
        <v>0.17</v>
      </c>
      <c r="Y110" s="600">
        <f t="shared" si="168"/>
        <v>0.20048000000000002</v>
      </c>
      <c r="Z110" s="604">
        <f t="shared" si="169"/>
        <v>0.40528000000000003</v>
      </c>
      <c r="AB110" s="78" t="str">
        <f>Aannames!$C$198</f>
        <v>265  R 16</v>
      </c>
      <c r="AC110" s="278">
        <v>5</v>
      </c>
      <c r="AD110" s="80">
        <f t="shared" si="170"/>
        <v>3.4000000000000002E-2</v>
      </c>
    </row>
    <row r="111" spans="1:30">
      <c r="A111" s="310">
        <f t="shared" si="90"/>
        <v>111</v>
      </c>
      <c r="C111" s="795"/>
      <c r="D111" s="167" t="s">
        <v>1401</v>
      </c>
      <c r="E111" s="678">
        <v>209880</v>
      </c>
      <c r="F111" s="12">
        <v>160000</v>
      </c>
      <c r="G111" s="12">
        <v>20000</v>
      </c>
      <c r="H111" s="12">
        <v>50</v>
      </c>
      <c r="I111" s="576">
        <v>10.4</v>
      </c>
      <c r="J111" s="575">
        <f t="shared" si="156"/>
        <v>9.615384615384615</v>
      </c>
      <c r="K111" s="120" t="s">
        <v>147</v>
      </c>
      <c r="L111" s="594">
        <f t="shared" si="157"/>
        <v>1.2000000000000002</v>
      </c>
      <c r="M111" s="595">
        <f t="shared" si="158"/>
        <v>0.45</v>
      </c>
      <c r="N111" s="600">
        <f t="shared" si="159"/>
        <v>0.60000000000000009</v>
      </c>
      <c r="O111" s="601">
        <f t="shared" si="160"/>
        <v>2.25</v>
      </c>
      <c r="P111" s="602">
        <f>MROUND(1/$J111*IF(K111="Petrol",Aannames!$F$65,$E$297),0.05)</f>
        <v>1.3</v>
      </c>
      <c r="Q111" s="594">
        <f t="shared" si="161"/>
        <v>0.65</v>
      </c>
      <c r="R111" s="600">
        <f t="shared" si="162"/>
        <v>0.4</v>
      </c>
      <c r="S111" s="601">
        <f t="shared" si="163"/>
        <v>2.35</v>
      </c>
      <c r="T111" s="598">
        <f t="shared" si="164"/>
        <v>3.3</v>
      </c>
      <c r="U111" s="599">
        <f t="shared" si="165"/>
        <v>4.5999999999999996</v>
      </c>
      <c r="V111" s="597"/>
      <c r="W111" s="603">
        <f t="shared" si="166"/>
        <v>3.7700000000000004E-2</v>
      </c>
      <c r="X111" s="594">
        <f t="shared" si="167"/>
        <v>0.17</v>
      </c>
      <c r="Y111" s="600">
        <f t="shared" si="168"/>
        <v>0.21577000000000002</v>
      </c>
      <c r="Z111" s="604">
        <f t="shared" si="169"/>
        <v>0.42347000000000001</v>
      </c>
      <c r="AB111" s="78" t="str">
        <f>Aannames!$C$198</f>
        <v>265  R 16</v>
      </c>
      <c r="AC111" s="278">
        <v>5</v>
      </c>
      <c r="AD111" s="80">
        <f t="shared" si="170"/>
        <v>3.4000000000000002E-2</v>
      </c>
    </row>
    <row r="112" spans="1:30">
      <c r="A112" s="310">
        <f t="shared" si="90"/>
        <v>112</v>
      </c>
      <c r="B112" s="69"/>
      <c r="C112" s="795"/>
      <c r="D112" s="153" t="s">
        <v>1402</v>
      </c>
      <c r="E112" s="678">
        <v>222880</v>
      </c>
      <c r="F112" s="12">
        <v>160000</v>
      </c>
      <c r="G112" s="12">
        <v>20000</v>
      </c>
      <c r="H112" s="12">
        <v>50</v>
      </c>
      <c r="I112" s="576">
        <v>10.4</v>
      </c>
      <c r="J112" s="575">
        <f t="shared" si="156"/>
        <v>9.615384615384615</v>
      </c>
      <c r="K112" s="120" t="s">
        <v>147</v>
      </c>
      <c r="L112" s="594">
        <f t="shared" si="157"/>
        <v>1.25</v>
      </c>
      <c r="M112" s="595">
        <f t="shared" si="158"/>
        <v>0.45</v>
      </c>
      <c r="N112" s="600">
        <f t="shared" si="159"/>
        <v>0.65</v>
      </c>
      <c r="O112" s="601">
        <f t="shared" si="160"/>
        <v>2.35</v>
      </c>
      <c r="P112" s="602">
        <f>MROUND(1/$J112*IF(K112="Petrol",Aannames!$F$65,$E$297),0.05)</f>
        <v>1.3</v>
      </c>
      <c r="Q112" s="594">
        <f t="shared" si="161"/>
        <v>0.70000000000000007</v>
      </c>
      <c r="R112" s="600">
        <f t="shared" si="162"/>
        <v>0.45</v>
      </c>
      <c r="S112" s="601">
        <f t="shared" si="163"/>
        <v>2.4500000000000002</v>
      </c>
      <c r="T112" s="598">
        <f t="shared" si="164"/>
        <v>3.5000000000000009</v>
      </c>
      <c r="U112" s="599">
        <f t="shared" si="165"/>
        <v>4.8000000000000007</v>
      </c>
      <c r="V112" s="597"/>
      <c r="W112" s="603">
        <f t="shared" si="166"/>
        <v>3.7700000000000004E-2</v>
      </c>
      <c r="X112" s="594">
        <f t="shared" si="167"/>
        <v>0.17</v>
      </c>
      <c r="Y112" s="600">
        <f t="shared" si="168"/>
        <v>0.22076999999999999</v>
      </c>
      <c r="Z112" s="604">
        <f t="shared" si="169"/>
        <v>0.42847000000000002</v>
      </c>
      <c r="AB112" s="78" t="str">
        <f>Aannames!$C$198</f>
        <v>265  R 16</v>
      </c>
      <c r="AC112" s="278">
        <v>5</v>
      </c>
      <c r="AD112" s="80">
        <f t="shared" si="170"/>
        <v>3.4000000000000002E-2</v>
      </c>
    </row>
    <row r="113" spans="1:30">
      <c r="A113" s="310">
        <f t="shared" ref="A113:A118" si="171">IF(ISNUMBER(E113),ROW(),"")</f>
        <v>113</v>
      </c>
      <c r="B113" s="69"/>
      <c r="C113" s="795"/>
      <c r="D113" s="153" t="s">
        <v>1403</v>
      </c>
      <c r="E113" s="678">
        <v>249990</v>
      </c>
      <c r="F113" s="12">
        <v>160000</v>
      </c>
      <c r="G113" s="12">
        <v>20000</v>
      </c>
      <c r="H113" s="12">
        <v>50</v>
      </c>
      <c r="I113" s="576">
        <v>12.2</v>
      </c>
      <c r="J113" s="575">
        <f t="shared" ref="J113:J118" si="172">100/I113</f>
        <v>8.1967213114754109</v>
      </c>
      <c r="K113" s="120" t="s">
        <v>1157</v>
      </c>
      <c r="L113" s="594">
        <f t="shared" si="157"/>
        <v>1.4000000000000001</v>
      </c>
      <c r="M113" s="595">
        <f t="shared" si="158"/>
        <v>0.5</v>
      </c>
      <c r="N113" s="600">
        <f t="shared" si="159"/>
        <v>0.70000000000000007</v>
      </c>
      <c r="O113" s="601">
        <f t="shared" ref="O113:O118" si="173">SUM(L113:N113)</f>
        <v>2.6</v>
      </c>
      <c r="P113" s="602">
        <f>MROUND(1/$J113*IF(K113="Petrol",Aannames!$F$65,$E$297),0.05)</f>
        <v>1.55</v>
      </c>
      <c r="Q113" s="594">
        <f t="shared" si="161"/>
        <v>0.8</v>
      </c>
      <c r="R113" s="600">
        <f t="shared" ref="R113:R118" si="174">MROUND(SUM(Z113),0.05)</f>
        <v>0.45</v>
      </c>
      <c r="S113" s="601">
        <f t="shared" ref="S113:S118" si="175">SUM(P113:R113)</f>
        <v>2.8000000000000003</v>
      </c>
      <c r="T113" s="598">
        <f t="shared" ref="T113:T118" si="176">U113-P113</f>
        <v>3.8500000000000005</v>
      </c>
      <c r="U113" s="599">
        <f t="shared" ref="U113:U118" si="177">S113+O113</f>
        <v>5.4</v>
      </c>
      <c r="V113" s="597"/>
      <c r="W113" s="603">
        <f t="shared" si="166"/>
        <v>4.4224999999999993E-2</v>
      </c>
      <c r="X113" s="594">
        <f t="shared" ref="X113:X118" si="178">AC113*AD113</f>
        <v>0.17</v>
      </c>
      <c r="Y113" s="600">
        <f t="shared" si="168"/>
        <v>0.2564225</v>
      </c>
      <c r="Z113" s="604">
        <f t="shared" ref="Z113:Z118" si="179">SUM(W113:Y113)</f>
        <v>0.4706475</v>
      </c>
      <c r="AB113" s="78" t="str">
        <f>Aannames!$C$198</f>
        <v>265  R 16</v>
      </c>
      <c r="AC113" s="772">
        <v>5</v>
      </c>
      <c r="AD113" s="80">
        <f t="shared" si="170"/>
        <v>3.4000000000000002E-2</v>
      </c>
    </row>
    <row r="114" spans="1:30">
      <c r="A114" s="310">
        <f t="shared" si="171"/>
        <v>114</v>
      </c>
      <c r="B114" s="69"/>
      <c r="C114" s="795"/>
      <c r="D114" s="153" t="s">
        <v>1404</v>
      </c>
      <c r="E114" s="678">
        <v>279990</v>
      </c>
      <c r="F114" s="12">
        <v>160000</v>
      </c>
      <c r="G114" s="12">
        <v>20000</v>
      </c>
      <c r="H114" s="12">
        <v>50</v>
      </c>
      <c r="I114" s="576">
        <v>12.2</v>
      </c>
      <c r="J114" s="575">
        <f t="shared" si="172"/>
        <v>8.1967213114754109</v>
      </c>
      <c r="K114" s="120" t="s">
        <v>1157</v>
      </c>
      <c r="L114" s="594">
        <f t="shared" si="157"/>
        <v>1.55</v>
      </c>
      <c r="M114" s="595">
        <f t="shared" si="158"/>
        <v>0.60000000000000009</v>
      </c>
      <c r="N114" s="600">
        <f t="shared" si="159"/>
        <v>0.8</v>
      </c>
      <c r="O114" s="601">
        <f t="shared" si="173"/>
        <v>2.95</v>
      </c>
      <c r="P114" s="602">
        <f>MROUND(1/$J114*IF(K114="Petrol",Aannames!$F$65,$E$297),0.05)</f>
        <v>1.55</v>
      </c>
      <c r="Q114" s="594">
        <f t="shared" si="161"/>
        <v>0.85000000000000009</v>
      </c>
      <c r="R114" s="600">
        <f t="shared" si="174"/>
        <v>0.5</v>
      </c>
      <c r="S114" s="601">
        <f t="shared" si="175"/>
        <v>2.9000000000000004</v>
      </c>
      <c r="T114" s="598">
        <f t="shared" si="176"/>
        <v>4.3000000000000007</v>
      </c>
      <c r="U114" s="599">
        <f t="shared" si="177"/>
        <v>5.8500000000000005</v>
      </c>
      <c r="V114" s="597"/>
      <c r="W114" s="603">
        <f t="shared" si="166"/>
        <v>4.4224999999999993E-2</v>
      </c>
      <c r="X114" s="594">
        <f t="shared" si="178"/>
        <v>0.17</v>
      </c>
      <c r="Y114" s="600">
        <f t="shared" si="168"/>
        <v>0.26142250000000006</v>
      </c>
      <c r="Z114" s="604">
        <f t="shared" si="179"/>
        <v>0.47564750000000006</v>
      </c>
      <c r="AB114" s="78" t="str">
        <f>Aannames!$C$198</f>
        <v>265  R 16</v>
      </c>
      <c r="AC114" s="772">
        <v>5</v>
      </c>
      <c r="AD114" s="80">
        <f t="shared" si="170"/>
        <v>3.4000000000000002E-2</v>
      </c>
    </row>
    <row r="115" spans="1:30">
      <c r="A115" s="310">
        <f t="shared" si="171"/>
        <v>115</v>
      </c>
      <c r="B115" s="69"/>
      <c r="C115" s="795"/>
      <c r="D115" s="153" t="s">
        <v>1405</v>
      </c>
      <c r="E115" s="678">
        <v>279990</v>
      </c>
      <c r="F115" s="12">
        <v>160000</v>
      </c>
      <c r="G115" s="12">
        <v>20000</v>
      </c>
      <c r="H115" s="12">
        <v>50</v>
      </c>
      <c r="I115" s="576">
        <v>9.6</v>
      </c>
      <c r="J115" s="575">
        <f t="shared" si="172"/>
        <v>10.416666666666668</v>
      </c>
      <c r="K115" s="120" t="s">
        <v>147</v>
      </c>
      <c r="L115" s="594">
        <f t="shared" si="157"/>
        <v>1.55</v>
      </c>
      <c r="M115" s="595">
        <f t="shared" si="158"/>
        <v>0.60000000000000009</v>
      </c>
      <c r="N115" s="600">
        <f t="shared" si="159"/>
        <v>0.8</v>
      </c>
      <c r="O115" s="601">
        <f t="shared" si="173"/>
        <v>2.95</v>
      </c>
      <c r="P115" s="602">
        <f>MROUND(1/$J115*IF(K115="Petrol",Aannames!$F$65,$E$297),0.05)</f>
        <v>1.2000000000000002</v>
      </c>
      <c r="Q115" s="594">
        <f t="shared" si="161"/>
        <v>0.85000000000000009</v>
      </c>
      <c r="R115" s="600">
        <f t="shared" si="174"/>
        <v>0.45</v>
      </c>
      <c r="S115" s="601">
        <f t="shared" si="175"/>
        <v>2.5000000000000004</v>
      </c>
      <c r="T115" s="598">
        <f t="shared" si="176"/>
        <v>4.2500000000000009</v>
      </c>
      <c r="U115" s="599">
        <f t="shared" si="177"/>
        <v>5.4500000000000011</v>
      </c>
      <c r="V115" s="597"/>
      <c r="W115" s="603">
        <f t="shared" si="166"/>
        <v>3.4799999999999998E-2</v>
      </c>
      <c r="X115" s="594">
        <f t="shared" si="178"/>
        <v>0.17</v>
      </c>
      <c r="Y115" s="600">
        <f t="shared" si="168"/>
        <v>0.22548000000000001</v>
      </c>
      <c r="Z115" s="604">
        <f t="shared" si="179"/>
        <v>0.43028</v>
      </c>
      <c r="AB115" s="78" t="str">
        <f>Aannames!$C$198</f>
        <v>265  R 16</v>
      </c>
      <c r="AC115" s="772">
        <v>5</v>
      </c>
      <c r="AD115" s="80">
        <f t="shared" si="170"/>
        <v>3.4000000000000002E-2</v>
      </c>
    </row>
    <row r="116" spans="1:30">
      <c r="A116" s="310">
        <f t="shared" si="171"/>
        <v>116</v>
      </c>
      <c r="B116" s="69"/>
      <c r="C116" s="795"/>
      <c r="D116" s="153" t="s">
        <v>1406</v>
      </c>
      <c r="E116" s="678">
        <v>309990</v>
      </c>
      <c r="F116" s="12">
        <v>160000</v>
      </c>
      <c r="G116" s="12">
        <v>20000</v>
      </c>
      <c r="H116" s="12">
        <v>50</v>
      </c>
      <c r="I116" s="576">
        <v>9.6</v>
      </c>
      <c r="J116" s="575">
        <f t="shared" si="172"/>
        <v>10.416666666666668</v>
      </c>
      <c r="K116" s="120" t="s">
        <v>147</v>
      </c>
      <c r="L116" s="594">
        <f t="shared" si="157"/>
        <v>1.75</v>
      </c>
      <c r="M116" s="595">
        <f t="shared" si="158"/>
        <v>0.65</v>
      </c>
      <c r="N116" s="600">
        <f t="shared" si="159"/>
        <v>0.9</v>
      </c>
      <c r="O116" s="601">
        <f t="shared" si="173"/>
        <v>3.3</v>
      </c>
      <c r="P116" s="602">
        <f>MROUND(1/$J116*IF(K116="Petrol",Aannames!$F$65,$E$297),0.05)</f>
        <v>1.2000000000000002</v>
      </c>
      <c r="Q116" s="594">
        <f t="shared" si="161"/>
        <v>0.95000000000000007</v>
      </c>
      <c r="R116" s="600">
        <f t="shared" si="174"/>
        <v>0.45</v>
      </c>
      <c r="S116" s="601">
        <f t="shared" si="175"/>
        <v>2.6000000000000005</v>
      </c>
      <c r="T116" s="598">
        <f t="shared" si="176"/>
        <v>4.7</v>
      </c>
      <c r="U116" s="599">
        <f t="shared" si="177"/>
        <v>5.9</v>
      </c>
      <c r="V116" s="597"/>
      <c r="W116" s="603">
        <f t="shared" si="166"/>
        <v>3.4799999999999998E-2</v>
      </c>
      <c r="X116" s="594">
        <f t="shared" si="178"/>
        <v>0.17</v>
      </c>
      <c r="Y116" s="600">
        <f t="shared" si="168"/>
        <v>0.23548000000000005</v>
      </c>
      <c r="Z116" s="604">
        <f t="shared" si="179"/>
        <v>0.44028000000000006</v>
      </c>
      <c r="AB116" s="78" t="str">
        <f>Aannames!$C$198</f>
        <v>265  R 16</v>
      </c>
      <c r="AC116" s="772">
        <v>5</v>
      </c>
      <c r="AD116" s="80">
        <f t="shared" si="170"/>
        <v>3.4000000000000002E-2</v>
      </c>
    </row>
    <row r="117" spans="1:30">
      <c r="A117" s="310">
        <f t="shared" si="171"/>
        <v>117</v>
      </c>
      <c r="B117" s="69"/>
      <c r="C117" s="795"/>
      <c r="D117" s="153" t="s">
        <v>1407</v>
      </c>
      <c r="E117" s="678">
        <v>345990</v>
      </c>
      <c r="F117" s="12">
        <v>160000</v>
      </c>
      <c r="G117" s="12">
        <v>20000</v>
      </c>
      <c r="H117" s="12">
        <v>50</v>
      </c>
      <c r="I117" s="576">
        <v>9.8000000000000007</v>
      </c>
      <c r="J117" s="575">
        <f t="shared" si="172"/>
        <v>10.204081632653061</v>
      </c>
      <c r="K117" s="120" t="s">
        <v>147</v>
      </c>
      <c r="L117" s="594">
        <f t="shared" si="157"/>
        <v>1.9500000000000002</v>
      </c>
      <c r="M117" s="595">
        <f t="shared" si="158"/>
        <v>0.70000000000000007</v>
      </c>
      <c r="N117" s="600">
        <f t="shared" si="159"/>
        <v>1</v>
      </c>
      <c r="O117" s="601">
        <f t="shared" si="173"/>
        <v>3.6500000000000004</v>
      </c>
      <c r="P117" s="602">
        <f>MROUND(1/$J117*IF(K117="Petrol",Aannames!$F$65,$E$297),0.05)</f>
        <v>1.2000000000000002</v>
      </c>
      <c r="Q117" s="594">
        <f t="shared" si="161"/>
        <v>1.1000000000000001</v>
      </c>
      <c r="R117" s="600">
        <f t="shared" si="174"/>
        <v>0.45</v>
      </c>
      <c r="S117" s="601">
        <f t="shared" si="175"/>
        <v>2.7500000000000004</v>
      </c>
      <c r="T117" s="598">
        <f t="shared" si="176"/>
        <v>5.2</v>
      </c>
      <c r="U117" s="599">
        <f t="shared" si="177"/>
        <v>6.4</v>
      </c>
      <c r="V117" s="597"/>
      <c r="W117" s="603">
        <f t="shared" si="166"/>
        <v>3.5525000000000001E-2</v>
      </c>
      <c r="X117" s="594">
        <f t="shared" si="178"/>
        <v>0.17</v>
      </c>
      <c r="Y117" s="600">
        <f t="shared" si="168"/>
        <v>0.25055250000000001</v>
      </c>
      <c r="Z117" s="604">
        <f t="shared" si="179"/>
        <v>0.45607750000000002</v>
      </c>
      <c r="AB117" s="78" t="str">
        <f>Aannames!$C$198</f>
        <v>265  R 16</v>
      </c>
      <c r="AC117" s="772">
        <v>5</v>
      </c>
      <c r="AD117" s="80">
        <f t="shared" si="170"/>
        <v>3.4000000000000002E-2</v>
      </c>
    </row>
    <row r="118" spans="1:30">
      <c r="A118" s="310">
        <f t="shared" si="171"/>
        <v>118</v>
      </c>
      <c r="B118" s="69"/>
      <c r="C118" s="795"/>
      <c r="D118" s="153" t="s">
        <v>1408</v>
      </c>
      <c r="E118" s="678">
        <v>375990</v>
      </c>
      <c r="F118" s="12">
        <v>160000</v>
      </c>
      <c r="G118" s="12">
        <v>20000</v>
      </c>
      <c r="H118" s="12">
        <v>50</v>
      </c>
      <c r="I118" s="576">
        <v>9.8000000000000007</v>
      </c>
      <c r="J118" s="575">
        <f t="shared" si="172"/>
        <v>10.204081632653061</v>
      </c>
      <c r="K118" s="120" t="s">
        <v>147</v>
      </c>
      <c r="L118" s="594">
        <f t="shared" si="157"/>
        <v>2.1</v>
      </c>
      <c r="M118" s="595">
        <f t="shared" si="158"/>
        <v>0.8</v>
      </c>
      <c r="N118" s="600">
        <f t="shared" si="159"/>
        <v>1.1000000000000001</v>
      </c>
      <c r="O118" s="601">
        <f t="shared" si="173"/>
        <v>4</v>
      </c>
      <c r="P118" s="602">
        <f>MROUND(1/$J118*IF(K118="Petrol",Aannames!$F$65,$E$297),0.05)</f>
        <v>1.2000000000000002</v>
      </c>
      <c r="Q118" s="594">
        <f t="shared" si="161"/>
        <v>1.1500000000000001</v>
      </c>
      <c r="R118" s="600">
        <f t="shared" si="174"/>
        <v>0.45</v>
      </c>
      <c r="S118" s="601">
        <f t="shared" si="175"/>
        <v>2.8000000000000007</v>
      </c>
      <c r="T118" s="598">
        <f t="shared" si="176"/>
        <v>5.6000000000000005</v>
      </c>
      <c r="U118" s="599">
        <f t="shared" si="177"/>
        <v>6.8000000000000007</v>
      </c>
      <c r="V118" s="597"/>
      <c r="W118" s="603">
        <f t="shared" si="166"/>
        <v>3.5525000000000001E-2</v>
      </c>
      <c r="X118" s="594">
        <f t="shared" si="178"/>
        <v>0.17</v>
      </c>
      <c r="Y118" s="600">
        <f t="shared" si="168"/>
        <v>0.25555250000000002</v>
      </c>
      <c r="Z118" s="604">
        <f t="shared" si="179"/>
        <v>0.46107750000000003</v>
      </c>
      <c r="AB118" s="78" t="str">
        <f>Aannames!$C$198</f>
        <v>265  R 16</v>
      </c>
      <c r="AC118" s="772">
        <v>5</v>
      </c>
      <c r="AD118" s="80">
        <f t="shared" si="170"/>
        <v>3.4000000000000002E-2</v>
      </c>
    </row>
    <row r="119" spans="1:30">
      <c r="A119" s="310"/>
      <c r="B119" s="69"/>
      <c r="C119" s="795"/>
      <c r="D119" s="153"/>
      <c r="E119" s="678"/>
      <c r="F119" s="12"/>
      <c r="G119" s="12"/>
      <c r="H119" s="12"/>
      <c r="I119" s="576"/>
      <c r="J119" s="575"/>
      <c r="K119" s="120"/>
      <c r="L119" s="594"/>
      <c r="M119" s="595"/>
      <c r="N119" s="600"/>
      <c r="O119" s="601"/>
      <c r="P119" s="602"/>
      <c r="Q119" s="594"/>
      <c r="R119" s="600"/>
      <c r="S119" s="601"/>
      <c r="T119" s="598"/>
      <c r="U119" s="599"/>
      <c r="V119" s="597"/>
      <c r="W119" s="603"/>
      <c r="X119" s="594"/>
      <c r="Y119" s="600"/>
      <c r="Z119" s="604"/>
      <c r="AC119" s="772"/>
    </row>
    <row r="120" spans="1:30" ht="15.75">
      <c r="A120" s="310" t="str">
        <f t="shared" ref="A120:A127" si="180">IF(ISNUMBER(E120),ROW(),"")</f>
        <v/>
      </c>
      <c r="C120" s="791" t="s">
        <v>1461</v>
      </c>
      <c r="D120" s="69"/>
      <c r="E120" s="678"/>
      <c r="F120" s="12"/>
      <c r="G120" s="12"/>
      <c r="H120" s="12"/>
      <c r="I120" s="576"/>
      <c r="J120" s="575"/>
      <c r="K120" s="120"/>
      <c r="L120" s="594"/>
      <c r="M120" s="595"/>
      <c r="N120" s="600"/>
      <c r="O120" s="601"/>
      <c r="P120" s="602"/>
      <c r="Q120" s="594"/>
      <c r="R120" s="600"/>
      <c r="S120" s="601"/>
      <c r="T120" s="598"/>
      <c r="U120" s="599"/>
      <c r="V120" s="597"/>
      <c r="W120" s="603"/>
      <c r="X120" s="594"/>
      <c r="Y120" s="600"/>
      <c r="Z120" s="604"/>
      <c r="AC120" s="772"/>
    </row>
    <row r="121" spans="1:30">
      <c r="A121" s="310">
        <f t="shared" si="180"/>
        <v>121</v>
      </c>
      <c r="C121" s="86"/>
      <c r="D121" s="16" t="s">
        <v>1462</v>
      </c>
      <c r="E121" s="678">
        <v>162995</v>
      </c>
      <c r="F121" s="12">
        <v>160000</v>
      </c>
      <c r="G121" s="12">
        <v>20000</v>
      </c>
      <c r="H121" s="12">
        <v>50</v>
      </c>
      <c r="I121" s="576">
        <v>12</v>
      </c>
      <c r="J121" s="575">
        <f t="shared" ref="J121:J127" si="181">100/I121</f>
        <v>8.3333333333333339</v>
      </c>
      <c r="K121" s="120" t="s">
        <v>147</v>
      </c>
      <c r="L121" s="594">
        <f t="shared" ref="L121:L127" si="182">MROUND($E121*(1-$E$295/100)/F121,0.05)</f>
        <v>0.9</v>
      </c>
      <c r="M121" s="595">
        <f t="shared" ref="M121:M127" si="183">MROUND($E121*(1+$E$295/100)/2*$F$304/100/$G121,0.05)</f>
        <v>0.35000000000000003</v>
      </c>
      <c r="N121" s="600">
        <f t="shared" ref="N121:N127" si="184">MROUND($E121*(1+$E$295/100)/2*$E$296/100/$G121,0.05)</f>
        <v>0.45</v>
      </c>
      <c r="O121" s="601">
        <f t="shared" ref="O121:O127" si="185">SUM(L121:N121)</f>
        <v>1.7</v>
      </c>
      <c r="P121" s="602">
        <f>MROUND(1/$J121*IF(K121="Petrol",Aannames!$F$65,$E$297),0.05)</f>
        <v>1.5</v>
      </c>
      <c r="Q121" s="594">
        <f t="shared" ref="Q121:Q127" si="186">MROUND($E121*$H121/100/$F121,0.05)</f>
        <v>0.5</v>
      </c>
      <c r="R121" s="600">
        <f t="shared" ref="R121:R127" si="187">MROUND(SUM(Z121),0.05)</f>
        <v>0.45</v>
      </c>
      <c r="S121" s="601">
        <f t="shared" ref="S121:S127" si="188">SUM(P121:R121)</f>
        <v>2.4500000000000002</v>
      </c>
      <c r="T121" s="598">
        <f t="shared" ref="T121:T127" si="189">U121-P121</f>
        <v>2.6500000000000004</v>
      </c>
      <c r="U121" s="599">
        <f t="shared" ref="U121:U127" si="190">S121+O121</f>
        <v>4.1500000000000004</v>
      </c>
      <c r="V121" s="597"/>
      <c r="W121" s="603">
        <f t="shared" ref="W121:W127" si="191">1/$J121*$F$314/100*$K$300</f>
        <v>4.3499999999999997E-2</v>
      </c>
      <c r="X121" s="594">
        <f t="shared" ref="X121:X127" si="192">AC121*AD121</f>
        <v>0.17</v>
      </c>
      <c r="Y121" s="600">
        <f t="shared" ref="Y121:Y127" si="193">SUM(P121,Q121,W121,X121)*$F$308/100</f>
        <v>0.22134999999999999</v>
      </c>
      <c r="Z121" s="604">
        <f t="shared" ref="Z121:Z127" si="194">SUM(W121:Y121)</f>
        <v>0.43485000000000001</v>
      </c>
      <c r="AB121" s="78" t="str">
        <f>Aannames!$C$198</f>
        <v>265  R 16</v>
      </c>
      <c r="AC121" s="772">
        <v>5</v>
      </c>
      <c r="AD121" s="80">
        <f t="shared" ref="AD121:AD127" si="195">$I$320</f>
        <v>3.4000000000000002E-2</v>
      </c>
    </row>
    <row r="122" spans="1:30">
      <c r="A122" s="310">
        <f t="shared" si="180"/>
        <v>122</v>
      </c>
      <c r="C122" s="86"/>
      <c r="D122" s="16" t="s">
        <v>1463</v>
      </c>
      <c r="E122" s="678">
        <v>199995</v>
      </c>
      <c r="F122" s="12">
        <v>160000</v>
      </c>
      <c r="G122" s="12">
        <v>20000</v>
      </c>
      <c r="H122" s="12">
        <v>50</v>
      </c>
      <c r="I122" s="576">
        <v>12</v>
      </c>
      <c r="J122" s="575">
        <f t="shared" si="181"/>
        <v>8.3333333333333339</v>
      </c>
      <c r="K122" s="120" t="s">
        <v>147</v>
      </c>
      <c r="L122" s="594">
        <f t="shared" si="182"/>
        <v>1.1000000000000001</v>
      </c>
      <c r="M122" s="595">
        <f t="shared" si="183"/>
        <v>0.4</v>
      </c>
      <c r="N122" s="600">
        <f t="shared" si="184"/>
        <v>0.60000000000000009</v>
      </c>
      <c r="O122" s="601">
        <f t="shared" si="185"/>
        <v>2.1</v>
      </c>
      <c r="P122" s="602">
        <f>MROUND(1/$J122*IF(K122="Petrol",Aannames!$F$65,$E$297),0.05)</f>
        <v>1.5</v>
      </c>
      <c r="Q122" s="594">
        <f t="shared" si="186"/>
        <v>0.60000000000000009</v>
      </c>
      <c r="R122" s="600">
        <f t="shared" si="187"/>
        <v>0.45</v>
      </c>
      <c r="S122" s="601">
        <f t="shared" si="188"/>
        <v>2.5500000000000003</v>
      </c>
      <c r="T122" s="598">
        <f t="shared" si="189"/>
        <v>3.1500000000000004</v>
      </c>
      <c r="U122" s="599">
        <f t="shared" si="190"/>
        <v>4.6500000000000004</v>
      </c>
      <c r="V122" s="597"/>
      <c r="W122" s="603">
        <f t="shared" si="191"/>
        <v>4.3499999999999997E-2</v>
      </c>
      <c r="X122" s="594">
        <f t="shared" si="192"/>
        <v>0.17</v>
      </c>
      <c r="Y122" s="600">
        <f t="shared" si="193"/>
        <v>0.23134999999999997</v>
      </c>
      <c r="Z122" s="604">
        <f t="shared" si="194"/>
        <v>0.44484999999999997</v>
      </c>
      <c r="AB122" s="78" t="str">
        <f>Aannames!$C$198</f>
        <v>265  R 16</v>
      </c>
      <c r="AC122" s="772">
        <v>5</v>
      </c>
      <c r="AD122" s="80">
        <f t="shared" si="195"/>
        <v>3.4000000000000002E-2</v>
      </c>
    </row>
    <row r="123" spans="1:30">
      <c r="A123" s="310">
        <f t="shared" si="180"/>
        <v>123</v>
      </c>
      <c r="C123" s="86"/>
      <c r="D123" s="16" t="s">
        <v>1464</v>
      </c>
      <c r="E123" s="678">
        <v>219995</v>
      </c>
      <c r="F123" s="12">
        <v>160000</v>
      </c>
      <c r="G123" s="12">
        <v>20000</v>
      </c>
      <c r="H123" s="12">
        <v>50</v>
      </c>
      <c r="I123" s="576">
        <v>10.8</v>
      </c>
      <c r="J123" s="575">
        <f t="shared" si="181"/>
        <v>9.2592592592592595</v>
      </c>
      <c r="K123" s="120" t="s">
        <v>147</v>
      </c>
      <c r="L123" s="594">
        <f t="shared" si="182"/>
        <v>1.25</v>
      </c>
      <c r="M123" s="595">
        <f t="shared" si="183"/>
        <v>0.45</v>
      </c>
      <c r="N123" s="600">
        <f t="shared" si="184"/>
        <v>0.65</v>
      </c>
      <c r="O123" s="601">
        <f t="shared" si="185"/>
        <v>2.35</v>
      </c>
      <c r="P123" s="602">
        <f>MROUND(1/$J123*IF(K123="Petrol",Aannames!$F$65,$E$297),0.05)</f>
        <v>1.35</v>
      </c>
      <c r="Q123" s="594">
        <f t="shared" si="186"/>
        <v>0.70000000000000007</v>
      </c>
      <c r="R123" s="600">
        <f t="shared" si="187"/>
        <v>0.45</v>
      </c>
      <c r="S123" s="601">
        <f t="shared" si="188"/>
        <v>2.5000000000000004</v>
      </c>
      <c r="T123" s="598">
        <f t="shared" si="189"/>
        <v>3.5000000000000004</v>
      </c>
      <c r="U123" s="599">
        <f t="shared" si="190"/>
        <v>4.8500000000000005</v>
      </c>
      <c r="V123" s="597"/>
      <c r="W123" s="603">
        <f t="shared" si="191"/>
        <v>3.9149999999999997E-2</v>
      </c>
      <c r="X123" s="594">
        <f t="shared" si="192"/>
        <v>0.17</v>
      </c>
      <c r="Y123" s="600">
        <f t="shared" si="193"/>
        <v>0.225915</v>
      </c>
      <c r="Z123" s="604">
        <f t="shared" si="194"/>
        <v>0.43506500000000004</v>
      </c>
      <c r="AB123" s="78" t="str">
        <f>Aannames!$C$198</f>
        <v>265  R 16</v>
      </c>
      <c r="AC123" s="772">
        <v>5</v>
      </c>
      <c r="AD123" s="80">
        <f t="shared" si="195"/>
        <v>3.4000000000000002E-2</v>
      </c>
    </row>
    <row r="124" spans="1:30">
      <c r="A124" s="310">
        <f t="shared" si="180"/>
        <v>124</v>
      </c>
      <c r="C124" s="86"/>
      <c r="D124" s="16" t="s">
        <v>1465</v>
      </c>
      <c r="E124" s="678">
        <v>267995</v>
      </c>
      <c r="F124" s="12">
        <v>160000</v>
      </c>
      <c r="G124" s="12">
        <v>20000</v>
      </c>
      <c r="H124" s="12">
        <v>50</v>
      </c>
      <c r="I124" s="576">
        <v>10.8</v>
      </c>
      <c r="J124" s="575">
        <f t="shared" si="181"/>
        <v>9.2592592592592595</v>
      </c>
      <c r="K124" s="120" t="s">
        <v>147</v>
      </c>
      <c r="L124" s="594">
        <f t="shared" si="182"/>
        <v>1.5</v>
      </c>
      <c r="M124" s="595">
        <f t="shared" si="183"/>
        <v>0.55000000000000004</v>
      </c>
      <c r="N124" s="600">
        <f t="shared" si="184"/>
        <v>0.75</v>
      </c>
      <c r="O124" s="601">
        <f t="shared" si="185"/>
        <v>2.8</v>
      </c>
      <c r="P124" s="602">
        <f>MROUND(1/$J124*IF(K124="Petrol",Aannames!$F$65,$E$297),0.05)</f>
        <v>1.35</v>
      </c>
      <c r="Q124" s="594">
        <f t="shared" si="186"/>
        <v>0.85000000000000009</v>
      </c>
      <c r="R124" s="600">
        <f t="shared" si="187"/>
        <v>0.45</v>
      </c>
      <c r="S124" s="601">
        <f t="shared" si="188"/>
        <v>2.6500000000000004</v>
      </c>
      <c r="T124" s="598">
        <f t="shared" si="189"/>
        <v>4.0999999999999996</v>
      </c>
      <c r="U124" s="599">
        <f t="shared" si="190"/>
        <v>5.45</v>
      </c>
      <c r="V124" s="597"/>
      <c r="W124" s="603">
        <f t="shared" si="191"/>
        <v>3.9149999999999997E-2</v>
      </c>
      <c r="X124" s="594">
        <f t="shared" si="192"/>
        <v>0.17</v>
      </c>
      <c r="Y124" s="600">
        <f t="shared" si="193"/>
        <v>0.24091499999999999</v>
      </c>
      <c r="Z124" s="604">
        <f t="shared" si="194"/>
        <v>0.45006499999999999</v>
      </c>
      <c r="AB124" s="78" t="str">
        <f>Aannames!$C$198</f>
        <v>265  R 16</v>
      </c>
      <c r="AC124" s="772">
        <v>5</v>
      </c>
      <c r="AD124" s="80">
        <f t="shared" si="195"/>
        <v>3.4000000000000002E-2</v>
      </c>
    </row>
    <row r="125" spans="1:30">
      <c r="A125" s="310">
        <f t="shared" si="180"/>
        <v>125</v>
      </c>
      <c r="C125" s="86"/>
      <c r="D125" s="16" t="s">
        <v>1466</v>
      </c>
      <c r="E125" s="678">
        <v>269995</v>
      </c>
      <c r="F125" s="12">
        <v>160000</v>
      </c>
      <c r="G125" s="12">
        <v>20000</v>
      </c>
      <c r="H125" s="12">
        <v>50</v>
      </c>
      <c r="I125" s="576">
        <v>10.8</v>
      </c>
      <c r="J125" s="575">
        <f t="shared" si="181"/>
        <v>9.2592592592592595</v>
      </c>
      <c r="K125" s="120" t="s">
        <v>147</v>
      </c>
      <c r="L125" s="594">
        <f t="shared" si="182"/>
        <v>1.5</v>
      </c>
      <c r="M125" s="595">
        <f t="shared" si="183"/>
        <v>0.55000000000000004</v>
      </c>
      <c r="N125" s="600">
        <f t="shared" si="184"/>
        <v>0.8</v>
      </c>
      <c r="O125" s="601">
        <f t="shared" si="185"/>
        <v>2.8499999999999996</v>
      </c>
      <c r="P125" s="602">
        <f>MROUND(1/$J125*IF(K125="Petrol",Aannames!$F$65,$E$297),0.05)</f>
        <v>1.35</v>
      </c>
      <c r="Q125" s="594">
        <f t="shared" si="186"/>
        <v>0.85000000000000009</v>
      </c>
      <c r="R125" s="600">
        <f t="shared" si="187"/>
        <v>0.45</v>
      </c>
      <c r="S125" s="601">
        <f t="shared" si="188"/>
        <v>2.6500000000000004</v>
      </c>
      <c r="T125" s="598">
        <f t="shared" si="189"/>
        <v>4.1500000000000004</v>
      </c>
      <c r="U125" s="599">
        <f t="shared" si="190"/>
        <v>5.5</v>
      </c>
      <c r="V125" s="597"/>
      <c r="W125" s="603">
        <f t="shared" si="191"/>
        <v>3.9149999999999997E-2</v>
      </c>
      <c r="X125" s="594">
        <f t="shared" si="192"/>
        <v>0.17</v>
      </c>
      <c r="Y125" s="600">
        <f t="shared" si="193"/>
        <v>0.24091499999999999</v>
      </c>
      <c r="Z125" s="604">
        <f t="shared" si="194"/>
        <v>0.45006499999999999</v>
      </c>
      <c r="AB125" s="78" t="str">
        <f>Aannames!$C$198</f>
        <v>265  R 16</v>
      </c>
      <c r="AC125" s="772">
        <v>5</v>
      </c>
      <c r="AD125" s="80">
        <f t="shared" si="195"/>
        <v>3.4000000000000002E-2</v>
      </c>
    </row>
    <row r="126" spans="1:30">
      <c r="A126" s="310">
        <f t="shared" si="180"/>
        <v>126</v>
      </c>
      <c r="C126" s="86"/>
      <c r="D126" s="16" t="s">
        <v>1467</v>
      </c>
      <c r="E126" s="678">
        <v>279995</v>
      </c>
      <c r="F126" s="12">
        <v>160000</v>
      </c>
      <c r="G126" s="12">
        <v>20000</v>
      </c>
      <c r="H126" s="12">
        <v>50</v>
      </c>
      <c r="I126" s="576">
        <v>10.8</v>
      </c>
      <c r="J126" s="575">
        <f t="shared" si="181"/>
        <v>9.2592592592592595</v>
      </c>
      <c r="K126" s="120" t="s">
        <v>147</v>
      </c>
      <c r="L126" s="594">
        <f t="shared" si="182"/>
        <v>1.55</v>
      </c>
      <c r="M126" s="595">
        <f t="shared" si="183"/>
        <v>0.60000000000000009</v>
      </c>
      <c r="N126" s="600">
        <f t="shared" si="184"/>
        <v>0.8</v>
      </c>
      <c r="O126" s="601">
        <f t="shared" si="185"/>
        <v>2.95</v>
      </c>
      <c r="P126" s="602">
        <f>MROUND(1/$J126*IF(K126="Petrol",Aannames!$F$65,$E$297),0.05)</f>
        <v>1.35</v>
      </c>
      <c r="Q126" s="594">
        <f t="shared" si="186"/>
        <v>0.85000000000000009</v>
      </c>
      <c r="R126" s="600">
        <f t="shared" si="187"/>
        <v>0.45</v>
      </c>
      <c r="S126" s="601">
        <f t="shared" si="188"/>
        <v>2.6500000000000004</v>
      </c>
      <c r="T126" s="598">
        <f t="shared" si="189"/>
        <v>4.25</v>
      </c>
      <c r="U126" s="599">
        <f t="shared" si="190"/>
        <v>5.6000000000000005</v>
      </c>
      <c r="V126" s="597"/>
      <c r="W126" s="603">
        <f t="shared" si="191"/>
        <v>3.9149999999999997E-2</v>
      </c>
      <c r="X126" s="594">
        <f t="shared" si="192"/>
        <v>0.17</v>
      </c>
      <c r="Y126" s="600">
        <f t="shared" si="193"/>
        <v>0.24091499999999999</v>
      </c>
      <c r="Z126" s="604">
        <f t="shared" si="194"/>
        <v>0.45006499999999999</v>
      </c>
      <c r="AB126" s="78" t="str">
        <f>Aannames!$C$198</f>
        <v>265  R 16</v>
      </c>
      <c r="AC126" s="772">
        <v>5</v>
      </c>
      <c r="AD126" s="80">
        <f t="shared" si="195"/>
        <v>3.4000000000000002E-2</v>
      </c>
    </row>
    <row r="127" spans="1:30">
      <c r="A127" s="310">
        <f t="shared" si="180"/>
        <v>127</v>
      </c>
      <c r="C127" s="86"/>
      <c r="D127" s="16" t="s">
        <v>1468</v>
      </c>
      <c r="E127" s="678">
        <v>309995</v>
      </c>
      <c r="F127" s="12">
        <v>160000</v>
      </c>
      <c r="G127" s="12">
        <v>20000</v>
      </c>
      <c r="H127" s="12">
        <v>50</v>
      </c>
      <c r="I127" s="576">
        <v>10.8</v>
      </c>
      <c r="J127" s="575">
        <f t="shared" si="181"/>
        <v>9.2592592592592595</v>
      </c>
      <c r="K127" s="120" t="s">
        <v>147</v>
      </c>
      <c r="L127" s="594">
        <f t="shared" si="182"/>
        <v>1.75</v>
      </c>
      <c r="M127" s="595">
        <f t="shared" si="183"/>
        <v>0.65</v>
      </c>
      <c r="N127" s="600">
        <f t="shared" si="184"/>
        <v>0.9</v>
      </c>
      <c r="O127" s="601">
        <f t="shared" si="185"/>
        <v>3.3</v>
      </c>
      <c r="P127" s="602">
        <f>MROUND(1/$J127*IF(K127="Petrol",Aannames!$F$65,$E$297),0.05)</f>
        <v>1.35</v>
      </c>
      <c r="Q127" s="594">
        <f t="shared" si="186"/>
        <v>0.95000000000000007</v>
      </c>
      <c r="R127" s="600">
        <f t="shared" si="187"/>
        <v>0.45</v>
      </c>
      <c r="S127" s="601">
        <f t="shared" si="188"/>
        <v>2.7500000000000004</v>
      </c>
      <c r="T127" s="598">
        <f t="shared" si="189"/>
        <v>4.7000000000000011</v>
      </c>
      <c r="U127" s="599">
        <f t="shared" si="190"/>
        <v>6.0500000000000007</v>
      </c>
      <c r="V127" s="597"/>
      <c r="W127" s="603">
        <f t="shared" si="191"/>
        <v>3.9149999999999997E-2</v>
      </c>
      <c r="X127" s="594">
        <f t="shared" si="192"/>
        <v>0.17</v>
      </c>
      <c r="Y127" s="600">
        <f t="shared" si="193"/>
        <v>0.250915</v>
      </c>
      <c r="Z127" s="604">
        <f t="shared" si="194"/>
        <v>0.460065</v>
      </c>
      <c r="AB127" s="78" t="str">
        <f>Aannames!$C$198</f>
        <v>265  R 16</v>
      </c>
      <c r="AC127" s="772">
        <v>5</v>
      </c>
      <c r="AD127" s="80">
        <f t="shared" si="195"/>
        <v>3.4000000000000002E-2</v>
      </c>
    </row>
    <row r="128" spans="1:30" ht="6.75" customHeight="1">
      <c r="A128" s="310" t="str">
        <f>IF(ISNUMBER(E128),ROW(),"")</f>
        <v/>
      </c>
      <c r="C128" s="87"/>
      <c r="D128" s="88"/>
      <c r="E128" s="563"/>
      <c r="F128" s="35"/>
      <c r="G128" s="35"/>
      <c r="H128" s="35"/>
      <c r="I128" s="577"/>
      <c r="J128" s="577"/>
      <c r="K128" s="121"/>
      <c r="L128" s="605"/>
      <c r="M128" s="606"/>
      <c r="N128" s="605"/>
      <c r="O128" s="607"/>
      <c r="P128" s="845"/>
      <c r="Q128" s="605"/>
      <c r="R128" s="605"/>
      <c r="S128" s="607"/>
      <c r="T128" s="608"/>
      <c r="U128" s="609"/>
      <c r="V128" s="597"/>
      <c r="W128" s="610"/>
      <c r="X128" s="611"/>
      <c r="Y128" s="612"/>
      <c r="Z128" s="613"/>
      <c r="AC128" s="772"/>
    </row>
    <row r="129" spans="1:30" ht="6" customHeight="1">
      <c r="A129" s="310"/>
      <c r="B129" s="310"/>
      <c r="C129" s="310"/>
      <c r="D129" s="310"/>
      <c r="E129" s="564"/>
      <c r="F129" s="310"/>
      <c r="G129" s="310"/>
      <c r="H129" s="310"/>
      <c r="I129" s="564"/>
      <c r="J129" s="564"/>
      <c r="K129" s="114"/>
      <c r="L129" s="174"/>
      <c r="M129" s="174"/>
      <c r="N129" s="174"/>
      <c r="O129" s="174"/>
      <c r="P129" s="174"/>
      <c r="Q129" s="174"/>
      <c r="R129" s="174"/>
      <c r="S129" s="174"/>
      <c r="T129" s="614"/>
      <c r="U129" s="174"/>
      <c r="V129" s="174"/>
      <c r="W129" s="174"/>
      <c r="X129" s="174"/>
      <c r="Y129" s="174"/>
      <c r="Z129" s="615"/>
      <c r="AA129" s="310"/>
      <c r="AC129" s="772"/>
    </row>
    <row r="130" spans="1:30" ht="6.75" customHeight="1">
      <c r="A130" s="310" t="str">
        <f>IF(ISNUMBER(E130),ROW(),"")</f>
        <v/>
      </c>
      <c r="B130" s="69"/>
      <c r="C130" s="956"/>
      <c r="D130" s="957"/>
      <c r="E130" s="958"/>
      <c r="F130" s="959"/>
      <c r="G130" s="959"/>
      <c r="H130" s="959"/>
      <c r="I130" s="960"/>
      <c r="J130" s="960"/>
      <c r="K130" s="961"/>
      <c r="L130" s="962"/>
      <c r="M130" s="962"/>
      <c r="N130" s="962"/>
      <c r="O130" s="962"/>
      <c r="P130" s="962"/>
      <c r="Q130" s="962"/>
      <c r="R130" s="962"/>
      <c r="S130" s="962"/>
      <c r="T130" s="963"/>
      <c r="U130" s="964"/>
      <c r="V130" s="587"/>
      <c r="W130" s="965"/>
      <c r="X130" s="962"/>
      <c r="Y130" s="962"/>
      <c r="Z130" s="966"/>
      <c r="AA130" s="69"/>
      <c r="AB130" s="81"/>
      <c r="AC130" s="82"/>
      <c r="AD130" s="83"/>
    </row>
    <row r="131" spans="1:30" ht="15.75">
      <c r="A131" s="310" t="str">
        <f t="shared" ref="A131:A139" si="196">IF(ISNUMBER(E131),ROW(),"")</f>
        <v/>
      </c>
      <c r="C131" s="791" t="s">
        <v>1434</v>
      </c>
      <c r="E131" s="678"/>
      <c r="F131" s="12"/>
      <c r="G131" s="12"/>
      <c r="H131" s="12"/>
      <c r="I131" s="576"/>
      <c r="J131" s="575"/>
      <c r="K131" s="120"/>
      <c r="L131" s="594"/>
      <c r="M131" s="595"/>
      <c r="N131" s="600"/>
      <c r="O131" s="601"/>
      <c r="P131" s="602"/>
      <c r="Q131" s="594"/>
      <c r="R131" s="600"/>
      <c r="S131" s="601"/>
      <c r="T131" s="598"/>
      <c r="U131" s="599"/>
      <c r="V131" s="597"/>
      <c r="W131" s="603"/>
      <c r="X131" s="594"/>
      <c r="Y131" s="600"/>
      <c r="Z131" s="604"/>
      <c r="AC131" s="772"/>
    </row>
    <row r="132" spans="1:30">
      <c r="A132" s="310">
        <f t="shared" si="196"/>
        <v>132</v>
      </c>
      <c r="C132" s="795"/>
      <c r="D132" s="167" t="s">
        <v>1409</v>
      </c>
      <c r="E132" s="678">
        <v>135995</v>
      </c>
      <c r="F132" s="12">
        <v>160000</v>
      </c>
      <c r="G132" s="12">
        <v>20000</v>
      </c>
      <c r="H132" s="12">
        <v>50</v>
      </c>
      <c r="I132" s="576">
        <v>8.4</v>
      </c>
      <c r="J132" s="575">
        <f t="shared" ref="J132:J139" si="197">100/I132</f>
        <v>11.904761904761905</v>
      </c>
      <c r="K132" s="120" t="s">
        <v>147</v>
      </c>
      <c r="L132" s="594">
        <f t="shared" ref="L132:L156" si="198">MROUND($E132*(1-$E$295/100)/F132,0.05)</f>
        <v>0.75</v>
      </c>
      <c r="M132" s="595">
        <f t="shared" ref="M132:M156" si="199">MROUND($E132*(1+$E$295/100)/2*$F$304/100/$G132,0.05)</f>
        <v>0.30000000000000004</v>
      </c>
      <c r="N132" s="600">
        <f t="shared" ref="N132:N156" si="200">MROUND($E132*(1+$E$295/100)/2*$E$296/100/$G132,0.05)</f>
        <v>0.4</v>
      </c>
      <c r="O132" s="601">
        <f t="shared" ref="O132:O139" si="201">SUM(L132:N132)</f>
        <v>1.4500000000000002</v>
      </c>
      <c r="P132" s="602">
        <f>MROUND(1/$J132*IF(K132="Petrol",Aannames!$F$65,$E$297),0.05)</f>
        <v>1.05</v>
      </c>
      <c r="Q132" s="594">
        <f t="shared" ref="Q132:Q156" si="202">MROUND($E132*$H132/100/$F132,0.05)</f>
        <v>0.4</v>
      </c>
      <c r="R132" s="600">
        <f t="shared" ref="R132:R139" si="203">MROUND(SUM(Z132),0.05)</f>
        <v>0.35000000000000003</v>
      </c>
      <c r="S132" s="601">
        <f t="shared" ref="S132:S139" si="204">SUM(P132:R132)</f>
        <v>1.8000000000000003</v>
      </c>
      <c r="T132" s="598">
        <f t="shared" ref="T132:T139" si="205">U132-P132</f>
        <v>2.2000000000000002</v>
      </c>
      <c r="U132" s="599">
        <f t="shared" ref="U132:U139" si="206">S132+O132</f>
        <v>3.2500000000000004</v>
      </c>
      <c r="V132" s="597"/>
      <c r="W132" s="603">
        <f t="shared" ref="W132:W156" si="207">1/$J132*$F$314/100*$K$300</f>
        <v>3.0449999999999998E-2</v>
      </c>
      <c r="X132" s="594">
        <f t="shared" ref="X132:X139" si="208">AC132*AD132</f>
        <v>0.17</v>
      </c>
      <c r="Y132" s="600">
        <f t="shared" ref="Y132:Y156" si="209">SUM(P132,Q132,W132,X132)*$F$308/100</f>
        <v>0.165045</v>
      </c>
      <c r="Z132" s="604">
        <f t="shared" ref="Z132:Z139" si="210">SUM(W132:Y132)</f>
        <v>0.36549500000000001</v>
      </c>
      <c r="AB132" s="78" t="str">
        <f>Aannames!$C$198</f>
        <v>265  R 16</v>
      </c>
      <c r="AC132" s="772">
        <v>5</v>
      </c>
      <c r="AD132" s="80">
        <f t="shared" ref="AD132:AD156" si="211">$I$320</f>
        <v>3.4000000000000002E-2</v>
      </c>
    </row>
    <row r="133" spans="1:30">
      <c r="A133" s="310">
        <f t="shared" si="196"/>
        <v>133</v>
      </c>
      <c r="C133" s="795"/>
      <c r="D133" s="167" t="s">
        <v>1410</v>
      </c>
      <c r="E133" s="678">
        <v>172995</v>
      </c>
      <c r="F133" s="12">
        <v>160000</v>
      </c>
      <c r="G133" s="12">
        <v>20000</v>
      </c>
      <c r="H133" s="12">
        <v>50</v>
      </c>
      <c r="I133" s="576">
        <v>11.4</v>
      </c>
      <c r="J133" s="575">
        <f t="shared" si="197"/>
        <v>8.7719298245614024</v>
      </c>
      <c r="K133" s="120" t="s">
        <v>147</v>
      </c>
      <c r="L133" s="594">
        <f t="shared" si="198"/>
        <v>0.95000000000000007</v>
      </c>
      <c r="M133" s="595">
        <f t="shared" si="199"/>
        <v>0.35000000000000003</v>
      </c>
      <c r="N133" s="600">
        <f t="shared" si="200"/>
        <v>0.5</v>
      </c>
      <c r="O133" s="601">
        <f t="shared" si="201"/>
        <v>1.8</v>
      </c>
      <c r="P133" s="602">
        <f>MROUND(1/$J133*IF(K133="Petrol",Aannames!$F$65,$E$297),0.05)</f>
        <v>1.4000000000000001</v>
      </c>
      <c r="Q133" s="594">
        <f t="shared" si="202"/>
        <v>0.55000000000000004</v>
      </c>
      <c r="R133" s="600">
        <f t="shared" si="203"/>
        <v>0.45</v>
      </c>
      <c r="S133" s="601">
        <f t="shared" si="204"/>
        <v>2.4000000000000004</v>
      </c>
      <c r="T133" s="598">
        <f t="shared" si="205"/>
        <v>2.8</v>
      </c>
      <c r="U133" s="599">
        <f t="shared" si="206"/>
        <v>4.2</v>
      </c>
      <c r="V133" s="597"/>
      <c r="W133" s="603">
        <f t="shared" si="207"/>
        <v>4.1325000000000008E-2</v>
      </c>
      <c r="X133" s="594">
        <f t="shared" si="208"/>
        <v>0.17</v>
      </c>
      <c r="Y133" s="600">
        <f t="shared" si="209"/>
        <v>0.21613250000000001</v>
      </c>
      <c r="Z133" s="604">
        <f t="shared" si="210"/>
        <v>0.42745750000000005</v>
      </c>
      <c r="AB133" s="78" t="str">
        <f>Aannames!$C$198</f>
        <v>265  R 16</v>
      </c>
      <c r="AC133" s="772">
        <v>5</v>
      </c>
      <c r="AD133" s="80">
        <f t="shared" si="211"/>
        <v>3.4000000000000002E-2</v>
      </c>
    </row>
    <row r="134" spans="1:30">
      <c r="A134" s="310">
        <f t="shared" si="196"/>
        <v>134</v>
      </c>
      <c r="C134" s="795"/>
      <c r="D134" s="167" t="s">
        <v>1411</v>
      </c>
      <c r="E134" s="678">
        <v>204995</v>
      </c>
      <c r="F134" s="12">
        <v>160000</v>
      </c>
      <c r="G134" s="12">
        <v>20000</v>
      </c>
      <c r="H134" s="12">
        <v>50</v>
      </c>
      <c r="I134" s="576">
        <v>11.4</v>
      </c>
      <c r="J134" s="575">
        <f t="shared" si="197"/>
        <v>8.7719298245614024</v>
      </c>
      <c r="K134" s="120" t="s">
        <v>147</v>
      </c>
      <c r="L134" s="594">
        <f t="shared" si="198"/>
        <v>1.1500000000000001</v>
      </c>
      <c r="M134" s="595">
        <f t="shared" si="199"/>
        <v>0.4</v>
      </c>
      <c r="N134" s="600">
        <f t="shared" si="200"/>
        <v>0.60000000000000009</v>
      </c>
      <c r="O134" s="601">
        <f t="shared" si="201"/>
        <v>2.1500000000000004</v>
      </c>
      <c r="P134" s="602">
        <f>MROUND(1/$J134*IF(K134="Petrol",Aannames!$F$65,$E$297),0.05)</f>
        <v>1.4000000000000001</v>
      </c>
      <c r="Q134" s="594">
        <f t="shared" si="202"/>
        <v>0.65</v>
      </c>
      <c r="R134" s="600">
        <f t="shared" si="203"/>
        <v>0.45</v>
      </c>
      <c r="S134" s="601">
        <f t="shared" si="204"/>
        <v>2.5000000000000004</v>
      </c>
      <c r="T134" s="598">
        <f t="shared" si="205"/>
        <v>3.25</v>
      </c>
      <c r="U134" s="599">
        <f t="shared" si="206"/>
        <v>4.6500000000000004</v>
      </c>
      <c r="V134" s="597"/>
      <c r="W134" s="603">
        <f t="shared" si="207"/>
        <v>4.1325000000000008E-2</v>
      </c>
      <c r="X134" s="594">
        <f t="shared" si="208"/>
        <v>0.17</v>
      </c>
      <c r="Y134" s="600">
        <f t="shared" si="209"/>
        <v>0.22613250000000001</v>
      </c>
      <c r="Z134" s="604">
        <f t="shared" si="210"/>
        <v>0.43745750000000005</v>
      </c>
      <c r="AB134" s="78" t="str">
        <f>Aannames!$C$198</f>
        <v>265  R 16</v>
      </c>
      <c r="AC134" s="772">
        <v>5</v>
      </c>
      <c r="AD134" s="80">
        <f t="shared" si="211"/>
        <v>3.4000000000000002E-2</v>
      </c>
    </row>
    <row r="135" spans="1:30">
      <c r="A135" s="310">
        <f t="shared" si="196"/>
        <v>135</v>
      </c>
      <c r="B135" s="69"/>
      <c r="C135" s="795"/>
      <c r="D135" s="153" t="s">
        <v>1412</v>
      </c>
      <c r="E135" s="678">
        <v>197995</v>
      </c>
      <c r="F135" s="12">
        <v>160000</v>
      </c>
      <c r="G135" s="12">
        <v>20000</v>
      </c>
      <c r="H135" s="12">
        <v>50</v>
      </c>
      <c r="I135" s="576">
        <v>11.4</v>
      </c>
      <c r="J135" s="575">
        <f t="shared" si="197"/>
        <v>8.7719298245614024</v>
      </c>
      <c r="K135" s="120" t="s">
        <v>147</v>
      </c>
      <c r="L135" s="594">
        <f t="shared" si="198"/>
        <v>1.1000000000000001</v>
      </c>
      <c r="M135" s="595">
        <f t="shared" si="199"/>
        <v>0.4</v>
      </c>
      <c r="N135" s="600">
        <f t="shared" si="200"/>
        <v>0.55000000000000004</v>
      </c>
      <c r="O135" s="601">
        <f t="shared" si="201"/>
        <v>2.0499999999999998</v>
      </c>
      <c r="P135" s="602">
        <f>MROUND(1/$J135*IF(K135="Petrol",Aannames!$F$65,$E$297),0.05)</f>
        <v>1.4000000000000001</v>
      </c>
      <c r="Q135" s="594">
        <f t="shared" si="202"/>
        <v>0.60000000000000009</v>
      </c>
      <c r="R135" s="600">
        <f t="shared" si="203"/>
        <v>0.45</v>
      </c>
      <c r="S135" s="601">
        <f t="shared" si="204"/>
        <v>2.4500000000000002</v>
      </c>
      <c r="T135" s="598">
        <f t="shared" si="205"/>
        <v>3.0999999999999996</v>
      </c>
      <c r="U135" s="599">
        <f t="shared" si="206"/>
        <v>4.5</v>
      </c>
      <c r="V135" s="597"/>
      <c r="W135" s="603">
        <f t="shared" si="207"/>
        <v>4.1325000000000008E-2</v>
      </c>
      <c r="X135" s="594">
        <f t="shared" si="208"/>
        <v>0.17</v>
      </c>
      <c r="Y135" s="600">
        <f t="shared" si="209"/>
        <v>0.22113250000000001</v>
      </c>
      <c r="Z135" s="604">
        <f t="shared" si="210"/>
        <v>0.43245750000000005</v>
      </c>
      <c r="AB135" s="78" t="str">
        <f>Aannames!$C$198</f>
        <v>265  R 16</v>
      </c>
      <c r="AC135" s="772">
        <v>5</v>
      </c>
      <c r="AD135" s="80">
        <f t="shared" si="211"/>
        <v>3.4000000000000002E-2</v>
      </c>
    </row>
    <row r="136" spans="1:30">
      <c r="A136" s="310">
        <f t="shared" si="196"/>
        <v>136</v>
      </c>
      <c r="B136" s="69"/>
      <c r="C136" s="795"/>
      <c r="D136" s="153" t="s">
        <v>1413</v>
      </c>
      <c r="E136" s="678">
        <v>226995</v>
      </c>
      <c r="F136" s="12">
        <v>160000</v>
      </c>
      <c r="G136" s="12">
        <v>20000</v>
      </c>
      <c r="H136" s="12">
        <v>50</v>
      </c>
      <c r="I136" s="576">
        <v>11.4</v>
      </c>
      <c r="J136" s="575">
        <f t="shared" si="197"/>
        <v>8.7719298245614024</v>
      </c>
      <c r="K136" s="120" t="s">
        <v>147</v>
      </c>
      <c r="L136" s="594">
        <f t="shared" si="198"/>
        <v>1.3</v>
      </c>
      <c r="M136" s="595">
        <f t="shared" si="199"/>
        <v>0.45</v>
      </c>
      <c r="N136" s="600">
        <f t="shared" si="200"/>
        <v>0.65</v>
      </c>
      <c r="O136" s="601">
        <f t="shared" si="201"/>
        <v>2.4</v>
      </c>
      <c r="P136" s="602">
        <f>MROUND(1/$J136*IF(K136="Petrol",Aannames!$F$65,$E$297),0.05)</f>
        <v>1.4000000000000001</v>
      </c>
      <c r="Q136" s="594">
        <f t="shared" si="202"/>
        <v>0.70000000000000007</v>
      </c>
      <c r="R136" s="600">
        <f t="shared" si="203"/>
        <v>0.45</v>
      </c>
      <c r="S136" s="601">
        <f t="shared" si="204"/>
        <v>2.5500000000000003</v>
      </c>
      <c r="T136" s="598">
        <f t="shared" si="205"/>
        <v>3.55</v>
      </c>
      <c r="U136" s="599">
        <f t="shared" si="206"/>
        <v>4.95</v>
      </c>
      <c r="V136" s="597"/>
      <c r="W136" s="603">
        <f t="shared" si="207"/>
        <v>4.1325000000000008E-2</v>
      </c>
      <c r="X136" s="594">
        <f t="shared" si="208"/>
        <v>0.17</v>
      </c>
      <c r="Y136" s="600">
        <f t="shared" si="209"/>
        <v>0.23113250000000002</v>
      </c>
      <c r="Z136" s="604">
        <f t="shared" si="210"/>
        <v>0.44245750000000006</v>
      </c>
      <c r="AB136" s="78" t="str">
        <f>Aannames!$C$198</f>
        <v>265  R 16</v>
      </c>
      <c r="AC136" s="772">
        <v>5</v>
      </c>
      <c r="AD136" s="80">
        <f t="shared" si="211"/>
        <v>3.4000000000000002E-2</v>
      </c>
    </row>
    <row r="137" spans="1:30">
      <c r="A137" s="310">
        <f t="shared" si="196"/>
        <v>137</v>
      </c>
      <c r="B137" s="69"/>
      <c r="C137" s="795"/>
      <c r="D137" s="153" t="s">
        <v>1414</v>
      </c>
      <c r="E137" s="678">
        <v>195995</v>
      </c>
      <c r="F137" s="12">
        <v>160000</v>
      </c>
      <c r="G137" s="12">
        <v>20000</v>
      </c>
      <c r="H137" s="12">
        <v>50</v>
      </c>
      <c r="I137" s="576">
        <v>9.5</v>
      </c>
      <c r="J137" s="575">
        <f t="shared" si="197"/>
        <v>10.526315789473685</v>
      </c>
      <c r="K137" s="120" t="s">
        <v>147</v>
      </c>
      <c r="L137" s="594">
        <f t="shared" si="198"/>
        <v>1.1000000000000001</v>
      </c>
      <c r="M137" s="595">
        <f t="shared" si="199"/>
        <v>0.4</v>
      </c>
      <c r="N137" s="600">
        <f t="shared" si="200"/>
        <v>0.55000000000000004</v>
      </c>
      <c r="O137" s="601">
        <f t="shared" si="201"/>
        <v>2.0499999999999998</v>
      </c>
      <c r="P137" s="602">
        <f>MROUND(1/$J137*IF(K137="Petrol",Aannames!$F$65,$E$297),0.05)</f>
        <v>1.1500000000000001</v>
      </c>
      <c r="Q137" s="594">
        <f t="shared" si="202"/>
        <v>0.60000000000000009</v>
      </c>
      <c r="R137" s="600">
        <f t="shared" si="203"/>
        <v>0.4</v>
      </c>
      <c r="S137" s="601">
        <f t="shared" si="204"/>
        <v>2.1500000000000004</v>
      </c>
      <c r="T137" s="598">
        <f t="shared" si="205"/>
        <v>3.05</v>
      </c>
      <c r="U137" s="599">
        <f t="shared" si="206"/>
        <v>4.2</v>
      </c>
      <c r="V137" s="597"/>
      <c r="W137" s="603">
        <f t="shared" si="207"/>
        <v>3.4437499999999996E-2</v>
      </c>
      <c r="X137" s="594">
        <f t="shared" si="208"/>
        <v>0.17</v>
      </c>
      <c r="Y137" s="600">
        <f t="shared" si="209"/>
        <v>0.19544375000000003</v>
      </c>
      <c r="Z137" s="604">
        <f t="shared" si="210"/>
        <v>0.39988125000000002</v>
      </c>
      <c r="AB137" s="78" t="str">
        <f>Aannames!$C$198</f>
        <v>265  R 16</v>
      </c>
      <c r="AC137" s="772">
        <v>5</v>
      </c>
      <c r="AD137" s="80">
        <f t="shared" si="211"/>
        <v>3.4000000000000002E-2</v>
      </c>
    </row>
    <row r="138" spans="1:30">
      <c r="A138" s="310">
        <f t="shared" si="196"/>
        <v>138</v>
      </c>
      <c r="B138" s="69"/>
      <c r="C138" s="795"/>
      <c r="D138" s="153" t="s">
        <v>1415</v>
      </c>
      <c r="E138" s="678">
        <v>220995</v>
      </c>
      <c r="F138" s="12">
        <v>160000</v>
      </c>
      <c r="G138" s="12">
        <v>20000</v>
      </c>
      <c r="H138" s="12">
        <v>50</v>
      </c>
      <c r="I138" s="576">
        <v>9.5</v>
      </c>
      <c r="J138" s="575">
        <f t="shared" si="197"/>
        <v>10.526315789473685</v>
      </c>
      <c r="K138" s="120" t="s">
        <v>147</v>
      </c>
      <c r="L138" s="594">
        <f t="shared" si="198"/>
        <v>1.25</v>
      </c>
      <c r="M138" s="595">
        <f t="shared" si="199"/>
        <v>0.45</v>
      </c>
      <c r="N138" s="600">
        <f t="shared" si="200"/>
        <v>0.65</v>
      </c>
      <c r="O138" s="601">
        <f t="shared" si="201"/>
        <v>2.35</v>
      </c>
      <c r="P138" s="602">
        <f>MROUND(1/$J138*IF(K138="Petrol",Aannames!$F$65,$E$297),0.05)</f>
        <v>1.1500000000000001</v>
      </c>
      <c r="Q138" s="594">
        <f t="shared" si="202"/>
        <v>0.70000000000000007</v>
      </c>
      <c r="R138" s="600">
        <f t="shared" si="203"/>
        <v>0.4</v>
      </c>
      <c r="S138" s="601">
        <f t="shared" si="204"/>
        <v>2.25</v>
      </c>
      <c r="T138" s="598">
        <f t="shared" si="205"/>
        <v>3.4499999999999993</v>
      </c>
      <c r="U138" s="599">
        <f t="shared" si="206"/>
        <v>4.5999999999999996</v>
      </c>
      <c r="V138" s="597"/>
      <c r="W138" s="603">
        <f t="shared" si="207"/>
        <v>3.4437499999999996E-2</v>
      </c>
      <c r="X138" s="594">
        <f t="shared" si="208"/>
        <v>0.17</v>
      </c>
      <c r="Y138" s="600">
        <f t="shared" si="209"/>
        <v>0.20544375000000004</v>
      </c>
      <c r="Z138" s="604">
        <f t="shared" si="210"/>
        <v>0.40988125000000003</v>
      </c>
      <c r="AB138" s="78" t="str">
        <f>Aannames!$C$198</f>
        <v>265  R 16</v>
      </c>
      <c r="AC138" s="772">
        <v>5</v>
      </c>
      <c r="AD138" s="80">
        <f t="shared" si="211"/>
        <v>3.4000000000000002E-2</v>
      </c>
    </row>
    <row r="139" spans="1:30">
      <c r="A139" s="310">
        <f t="shared" si="196"/>
        <v>139</v>
      </c>
      <c r="B139" s="69"/>
      <c r="C139" s="795"/>
      <c r="D139" s="153" t="s">
        <v>1416</v>
      </c>
      <c r="E139" s="678">
        <v>230995</v>
      </c>
      <c r="F139" s="12">
        <v>160000</v>
      </c>
      <c r="G139" s="12">
        <v>20000</v>
      </c>
      <c r="H139" s="12">
        <v>50</v>
      </c>
      <c r="I139" s="576">
        <v>9.5</v>
      </c>
      <c r="J139" s="575">
        <f t="shared" si="197"/>
        <v>10.526315789473685</v>
      </c>
      <c r="K139" s="120" t="s">
        <v>147</v>
      </c>
      <c r="L139" s="594">
        <f t="shared" si="198"/>
        <v>1.3</v>
      </c>
      <c r="M139" s="595">
        <f t="shared" si="199"/>
        <v>0.5</v>
      </c>
      <c r="N139" s="600">
        <f t="shared" si="200"/>
        <v>0.65</v>
      </c>
      <c r="O139" s="601">
        <f t="shared" si="201"/>
        <v>2.4500000000000002</v>
      </c>
      <c r="P139" s="602">
        <f>MROUND(1/$J139*IF(K139="Petrol",Aannames!$F$65,$E$297),0.05)</f>
        <v>1.1500000000000001</v>
      </c>
      <c r="Q139" s="594">
        <f t="shared" si="202"/>
        <v>0.70000000000000007</v>
      </c>
      <c r="R139" s="600">
        <f t="shared" si="203"/>
        <v>0.4</v>
      </c>
      <c r="S139" s="601">
        <f t="shared" si="204"/>
        <v>2.25</v>
      </c>
      <c r="T139" s="598">
        <f t="shared" si="205"/>
        <v>3.55</v>
      </c>
      <c r="U139" s="599">
        <f t="shared" si="206"/>
        <v>4.7</v>
      </c>
      <c r="V139" s="597"/>
      <c r="W139" s="603">
        <f t="shared" si="207"/>
        <v>3.4437499999999996E-2</v>
      </c>
      <c r="X139" s="594">
        <f t="shared" si="208"/>
        <v>0.17</v>
      </c>
      <c r="Y139" s="600">
        <f t="shared" si="209"/>
        <v>0.20544375000000004</v>
      </c>
      <c r="Z139" s="604">
        <f t="shared" si="210"/>
        <v>0.40988125000000003</v>
      </c>
      <c r="AB139" s="78" t="str">
        <f>Aannames!$C$198</f>
        <v>265  R 16</v>
      </c>
      <c r="AC139" s="772">
        <v>5</v>
      </c>
      <c r="AD139" s="80">
        <f t="shared" si="211"/>
        <v>3.4000000000000002E-2</v>
      </c>
    </row>
    <row r="140" spans="1:30">
      <c r="A140" s="310">
        <f t="shared" ref="A140:A149" si="212">IF(ISNUMBER(E140),ROW(),"")</f>
        <v>140</v>
      </c>
      <c r="C140" s="795"/>
      <c r="D140" s="167" t="s">
        <v>1417</v>
      </c>
      <c r="E140" s="678">
        <v>180995</v>
      </c>
      <c r="F140" s="12">
        <v>160000</v>
      </c>
      <c r="G140" s="12">
        <v>20000</v>
      </c>
      <c r="H140" s="12">
        <v>50</v>
      </c>
      <c r="I140" s="576">
        <v>11.9</v>
      </c>
      <c r="J140" s="575">
        <f t="shared" ref="J140:J149" si="213">100/I140</f>
        <v>8.4033613445378155</v>
      </c>
      <c r="K140" s="120" t="s">
        <v>147</v>
      </c>
      <c r="L140" s="594">
        <f t="shared" si="198"/>
        <v>1</v>
      </c>
      <c r="M140" s="595">
        <f t="shared" si="199"/>
        <v>0.35000000000000003</v>
      </c>
      <c r="N140" s="600">
        <f t="shared" si="200"/>
        <v>0.5</v>
      </c>
      <c r="O140" s="601">
        <f t="shared" ref="O140:O149" si="214">SUM(L140:N140)</f>
        <v>1.85</v>
      </c>
      <c r="P140" s="602">
        <f>MROUND(1/$J140*IF(K140="Petrol",Aannames!$F$65,$E$297),0.05)</f>
        <v>1.4500000000000002</v>
      </c>
      <c r="Q140" s="594">
        <f t="shared" si="202"/>
        <v>0.55000000000000004</v>
      </c>
      <c r="R140" s="600">
        <f t="shared" ref="R140:R149" si="215">MROUND(SUM(Z140),0.05)</f>
        <v>0.45</v>
      </c>
      <c r="S140" s="601">
        <f t="shared" ref="S140:S149" si="216">SUM(P140:R140)</f>
        <v>2.4500000000000002</v>
      </c>
      <c r="T140" s="598">
        <f t="shared" ref="T140:T149" si="217">U140-P140</f>
        <v>2.8500000000000005</v>
      </c>
      <c r="U140" s="599">
        <f t="shared" ref="U140:U149" si="218">S140+O140</f>
        <v>4.3000000000000007</v>
      </c>
      <c r="V140" s="597"/>
      <c r="W140" s="603">
        <f t="shared" si="207"/>
        <v>4.3137499999999995E-2</v>
      </c>
      <c r="X140" s="594">
        <f t="shared" ref="X140:X149" si="219">AC140*AD140</f>
        <v>0.17</v>
      </c>
      <c r="Y140" s="600">
        <f t="shared" si="209"/>
        <v>0.22131374999999998</v>
      </c>
      <c r="Z140" s="604">
        <f t="shared" ref="Z140:Z149" si="220">SUM(W140:Y140)</f>
        <v>0.43445124999999996</v>
      </c>
      <c r="AB140" s="78" t="str">
        <f>Aannames!$C$198</f>
        <v>265  R 16</v>
      </c>
      <c r="AC140" s="772">
        <v>5</v>
      </c>
      <c r="AD140" s="80">
        <f t="shared" si="211"/>
        <v>3.4000000000000002E-2</v>
      </c>
    </row>
    <row r="141" spans="1:30">
      <c r="A141" s="310">
        <f t="shared" si="212"/>
        <v>141</v>
      </c>
      <c r="C141" s="795"/>
      <c r="D141" s="167" t="s">
        <v>1418</v>
      </c>
      <c r="E141" s="678">
        <v>203995</v>
      </c>
      <c r="F141" s="12">
        <v>160000</v>
      </c>
      <c r="G141" s="12">
        <v>20000</v>
      </c>
      <c r="H141" s="12">
        <v>50</v>
      </c>
      <c r="I141" s="576">
        <v>11.9</v>
      </c>
      <c r="J141" s="575">
        <f t="shared" si="213"/>
        <v>8.4033613445378155</v>
      </c>
      <c r="K141" s="120" t="s">
        <v>147</v>
      </c>
      <c r="L141" s="594">
        <f t="shared" si="198"/>
        <v>1.1500000000000001</v>
      </c>
      <c r="M141" s="595">
        <f t="shared" si="199"/>
        <v>0.4</v>
      </c>
      <c r="N141" s="600">
        <f t="shared" si="200"/>
        <v>0.60000000000000009</v>
      </c>
      <c r="O141" s="601">
        <f t="shared" si="214"/>
        <v>2.1500000000000004</v>
      </c>
      <c r="P141" s="602">
        <f>MROUND(1/$J141*IF(K141="Petrol",Aannames!$F$65,$E$297),0.05)</f>
        <v>1.4500000000000002</v>
      </c>
      <c r="Q141" s="594">
        <f t="shared" si="202"/>
        <v>0.65</v>
      </c>
      <c r="R141" s="600">
        <f t="shared" si="215"/>
        <v>0.45</v>
      </c>
      <c r="S141" s="601">
        <f t="shared" si="216"/>
        <v>2.5500000000000003</v>
      </c>
      <c r="T141" s="598">
        <f t="shared" si="217"/>
        <v>3.2500000000000009</v>
      </c>
      <c r="U141" s="599">
        <f t="shared" si="218"/>
        <v>4.7000000000000011</v>
      </c>
      <c r="V141" s="597"/>
      <c r="W141" s="603">
        <f t="shared" si="207"/>
        <v>4.3137499999999995E-2</v>
      </c>
      <c r="X141" s="594">
        <f t="shared" si="219"/>
        <v>0.17</v>
      </c>
      <c r="Y141" s="600">
        <f t="shared" si="209"/>
        <v>0.23131374999999998</v>
      </c>
      <c r="Z141" s="604">
        <f t="shared" si="220"/>
        <v>0.44445124999999996</v>
      </c>
      <c r="AB141" s="78" t="str">
        <f>Aannames!$C$198</f>
        <v>265  R 16</v>
      </c>
      <c r="AC141" s="772">
        <v>5</v>
      </c>
      <c r="AD141" s="80">
        <f t="shared" si="211"/>
        <v>3.4000000000000002E-2</v>
      </c>
    </row>
    <row r="142" spans="1:30">
      <c r="A142" s="310">
        <f t="shared" si="212"/>
        <v>142</v>
      </c>
      <c r="C142" s="795"/>
      <c r="D142" s="167" t="s">
        <v>1419</v>
      </c>
      <c r="E142" s="678">
        <v>246995</v>
      </c>
      <c r="F142" s="12">
        <v>160000</v>
      </c>
      <c r="G142" s="12">
        <v>20000</v>
      </c>
      <c r="H142" s="12">
        <v>50</v>
      </c>
      <c r="I142" s="576">
        <v>11.9</v>
      </c>
      <c r="J142" s="575">
        <f t="shared" si="213"/>
        <v>8.4033613445378155</v>
      </c>
      <c r="K142" s="120" t="s">
        <v>147</v>
      </c>
      <c r="L142" s="594">
        <f t="shared" si="198"/>
        <v>1.4000000000000001</v>
      </c>
      <c r="M142" s="595">
        <f t="shared" si="199"/>
        <v>0.5</v>
      </c>
      <c r="N142" s="600">
        <f t="shared" si="200"/>
        <v>0.70000000000000007</v>
      </c>
      <c r="O142" s="601">
        <f t="shared" si="214"/>
        <v>2.6</v>
      </c>
      <c r="P142" s="602">
        <f>MROUND(1/$J142*IF(K142="Petrol",Aannames!$F$65,$E$297),0.05)</f>
        <v>1.4500000000000002</v>
      </c>
      <c r="Q142" s="594">
        <f t="shared" si="202"/>
        <v>0.75</v>
      </c>
      <c r="R142" s="600">
        <f t="shared" si="215"/>
        <v>0.45</v>
      </c>
      <c r="S142" s="601">
        <f t="shared" si="216"/>
        <v>2.6500000000000004</v>
      </c>
      <c r="T142" s="598">
        <f t="shared" si="217"/>
        <v>3.8</v>
      </c>
      <c r="U142" s="599">
        <f t="shared" si="218"/>
        <v>5.25</v>
      </c>
      <c r="V142" s="597"/>
      <c r="W142" s="603">
        <f t="shared" si="207"/>
        <v>4.3137499999999995E-2</v>
      </c>
      <c r="X142" s="594">
        <f t="shared" si="219"/>
        <v>0.17</v>
      </c>
      <c r="Y142" s="600">
        <f t="shared" si="209"/>
        <v>0.24131374999999999</v>
      </c>
      <c r="Z142" s="604">
        <f t="shared" si="220"/>
        <v>0.45445124999999997</v>
      </c>
      <c r="AB142" s="78" t="str">
        <f>Aannames!$C$198</f>
        <v>265  R 16</v>
      </c>
      <c r="AC142" s="772">
        <v>5</v>
      </c>
      <c r="AD142" s="80">
        <f t="shared" si="211"/>
        <v>3.4000000000000002E-2</v>
      </c>
    </row>
    <row r="143" spans="1:30">
      <c r="A143" s="310">
        <f t="shared" si="212"/>
        <v>143</v>
      </c>
      <c r="B143" s="69"/>
      <c r="C143" s="795"/>
      <c r="D143" s="153" t="s">
        <v>1420</v>
      </c>
      <c r="E143" s="678">
        <v>217995</v>
      </c>
      <c r="F143" s="12">
        <v>160000</v>
      </c>
      <c r="G143" s="12">
        <v>20000</v>
      </c>
      <c r="H143" s="12">
        <v>50</v>
      </c>
      <c r="I143" s="576">
        <v>10.6</v>
      </c>
      <c r="J143" s="575">
        <f t="shared" si="213"/>
        <v>9.433962264150944</v>
      </c>
      <c r="K143" s="120" t="s">
        <v>147</v>
      </c>
      <c r="L143" s="594">
        <f t="shared" si="198"/>
        <v>1.25</v>
      </c>
      <c r="M143" s="595">
        <f t="shared" si="199"/>
        <v>0.45</v>
      </c>
      <c r="N143" s="600">
        <f t="shared" si="200"/>
        <v>0.65</v>
      </c>
      <c r="O143" s="601">
        <f t="shared" si="214"/>
        <v>2.35</v>
      </c>
      <c r="P143" s="602">
        <f>MROUND(1/$J143*IF(K143="Petrol",Aannames!$F$65,$E$297),0.05)</f>
        <v>1.3</v>
      </c>
      <c r="Q143" s="594">
        <f t="shared" si="202"/>
        <v>0.70000000000000007</v>
      </c>
      <c r="R143" s="600">
        <f t="shared" si="215"/>
        <v>0.45</v>
      </c>
      <c r="S143" s="601">
        <f t="shared" si="216"/>
        <v>2.4500000000000002</v>
      </c>
      <c r="T143" s="598">
        <f t="shared" si="217"/>
        <v>3.5000000000000009</v>
      </c>
      <c r="U143" s="599">
        <f t="shared" si="218"/>
        <v>4.8000000000000007</v>
      </c>
      <c r="V143" s="597"/>
      <c r="W143" s="603">
        <f t="shared" si="207"/>
        <v>3.8425000000000001E-2</v>
      </c>
      <c r="X143" s="594">
        <f t="shared" si="219"/>
        <v>0.17</v>
      </c>
      <c r="Y143" s="600">
        <f t="shared" si="209"/>
        <v>0.2208425</v>
      </c>
      <c r="Z143" s="604">
        <f t="shared" si="220"/>
        <v>0.42926750000000002</v>
      </c>
      <c r="AB143" s="78" t="str">
        <f>Aannames!$C$198</f>
        <v>265  R 16</v>
      </c>
      <c r="AC143" s="772">
        <v>5</v>
      </c>
      <c r="AD143" s="80">
        <f t="shared" si="211"/>
        <v>3.4000000000000002E-2</v>
      </c>
    </row>
    <row r="144" spans="1:30">
      <c r="A144" s="310">
        <f t="shared" si="212"/>
        <v>144</v>
      </c>
      <c r="B144" s="69"/>
      <c r="C144" s="795"/>
      <c r="D144" s="153" t="s">
        <v>1421</v>
      </c>
      <c r="E144" s="678">
        <v>250995</v>
      </c>
      <c r="F144" s="12">
        <v>160000</v>
      </c>
      <c r="G144" s="12">
        <v>20000</v>
      </c>
      <c r="H144" s="12">
        <v>50</v>
      </c>
      <c r="I144" s="576">
        <v>10.6</v>
      </c>
      <c r="J144" s="575">
        <f t="shared" si="213"/>
        <v>9.433962264150944</v>
      </c>
      <c r="K144" s="120" t="s">
        <v>147</v>
      </c>
      <c r="L144" s="594">
        <f t="shared" si="198"/>
        <v>1.4000000000000001</v>
      </c>
      <c r="M144" s="595">
        <f t="shared" si="199"/>
        <v>0.5</v>
      </c>
      <c r="N144" s="600">
        <f t="shared" si="200"/>
        <v>0.70000000000000007</v>
      </c>
      <c r="O144" s="601">
        <f t="shared" si="214"/>
        <v>2.6</v>
      </c>
      <c r="P144" s="602">
        <f>MROUND(1/$J144*IF(K144="Petrol",Aannames!$F$65,$E$297),0.05)</f>
        <v>1.3</v>
      </c>
      <c r="Q144" s="594">
        <f t="shared" si="202"/>
        <v>0.8</v>
      </c>
      <c r="R144" s="600">
        <f t="shared" si="215"/>
        <v>0.45</v>
      </c>
      <c r="S144" s="601">
        <f t="shared" si="216"/>
        <v>2.5500000000000003</v>
      </c>
      <c r="T144" s="598">
        <f t="shared" si="217"/>
        <v>3.8500000000000005</v>
      </c>
      <c r="U144" s="599">
        <f t="shared" si="218"/>
        <v>5.15</v>
      </c>
      <c r="V144" s="597"/>
      <c r="W144" s="603">
        <f t="shared" si="207"/>
        <v>3.8425000000000001E-2</v>
      </c>
      <c r="X144" s="594">
        <f t="shared" si="219"/>
        <v>0.17</v>
      </c>
      <c r="Y144" s="600">
        <f t="shared" si="209"/>
        <v>0.23084250000000001</v>
      </c>
      <c r="Z144" s="604">
        <f t="shared" si="220"/>
        <v>0.43926750000000003</v>
      </c>
      <c r="AB144" s="78" t="str">
        <f>Aannames!$C$198</f>
        <v>265  R 16</v>
      </c>
      <c r="AC144" s="772">
        <v>5</v>
      </c>
      <c r="AD144" s="80">
        <f t="shared" si="211"/>
        <v>3.4000000000000002E-2</v>
      </c>
    </row>
    <row r="145" spans="1:30">
      <c r="A145" s="310">
        <f t="shared" si="212"/>
        <v>145</v>
      </c>
      <c r="B145" s="69"/>
      <c r="C145" s="795"/>
      <c r="D145" s="153" t="s">
        <v>1422</v>
      </c>
      <c r="E145" s="678">
        <v>271995</v>
      </c>
      <c r="F145" s="12">
        <v>160000</v>
      </c>
      <c r="G145" s="12">
        <v>20000</v>
      </c>
      <c r="H145" s="12">
        <v>50</v>
      </c>
      <c r="I145" s="576">
        <v>10.6</v>
      </c>
      <c r="J145" s="575">
        <f t="shared" si="213"/>
        <v>9.433962264150944</v>
      </c>
      <c r="K145" s="120" t="s">
        <v>147</v>
      </c>
      <c r="L145" s="594">
        <f t="shared" si="198"/>
        <v>1.55</v>
      </c>
      <c r="M145" s="595">
        <f t="shared" si="199"/>
        <v>0.55000000000000004</v>
      </c>
      <c r="N145" s="600">
        <f t="shared" si="200"/>
        <v>0.8</v>
      </c>
      <c r="O145" s="601">
        <f t="shared" si="214"/>
        <v>2.9000000000000004</v>
      </c>
      <c r="P145" s="602">
        <f>MROUND(1/$J145*IF(K145="Petrol",Aannames!$F$65,$E$297),0.05)</f>
        <v>1.3</v>
      </c>
      <c r="Q145" s="594">
        <f t="shared" si="202"/>
        <v>0.85000000000000009</v>
      </c>
      <c r="R145" s="600">
        <f t="shared" si="215"/>
        <v>0.45</v>
      </c>
      <c r="S145" s="601">
        <f t="shared" si="216"/>
        <v>2.6000000000000005</v>
      </c>
      <c r="T145" s="598">
        <f t="shared" si="217"/>
        <v>4.2000000000000011</v>
      </c>
      <c r="U145" s="599">
        <f t="shared" si="218"/>
        <v>5.5000000000000009</v>
      </c>
      <c r="V145" s="597"/>
      <c r="W145" s="603">
        <f t="shared" si="207"/>
        <v>3.8425000000000001E-2</v>
      </c>
      <c r="X145" s="594">
        <f t="shared" si="219"/>
        <v>0.17</v>
      </c>
      <c r="Y145" s="600">
        <f t="shared" si="209"/>
        <v>0.23584250000000004</v>
      </c>
      <c r="Z145" s="604">
        <f t="shared" si="220"/>
        <v>0.44426750000000004</v>
      </c>
      <c r="AB145" s="78" t="str">
        <f>Aannames!$C$198</f>
        <v>265  R 16</v>
      </c>
      <c r="AC145" s="772">
        <v>5</v>
      </c>
      <c r="AD145" s="80">
        <f t="shared" si="211"/>
        <v>3.4000000000000002E-2</v>
      </c>
    </row>
    <row r="146" spans="1:30">
      <c r="A146" s="310">
        <f t="shared" si="212"/>
        <v>146</v>
      </c>
      <c r="B146" s="69"/>
      <c r="C146" s="795"/>
      <c r="D146" s="153" t="s">
        <v>1423</v>
      </c>
      <c r="E146" s="678">
        <v>304995</v>
      </c>
      <c r="F146" s="12">
        <v>160000</v>
      </c>
      <c r="G146" s="12">
        <v>20000</v>
      </c>
      <c r="H146" s="12">
        <v>50</v>
      </c>
      <c r="I146" s="576">
        <v>10.6</v>
      </c>
      <c r="J146" s="575">
        <f t="shared" si="213"/>
        <v>9.433962264150944</v>
      </c>
      <c r="K146" s="120" t="s">
        <v>147</v>
      </c>
      <c r="L146" s="594">
        <f t="shared" si="198"/>
        <v>1.7000000000000002</v>
      </c>
      <c r="M146" s="595">
        <f t="shared" si="199"/>
        <v>0.65</v>
      </c>
      <c r="N146" s="600">
        <f t="shared" si="200"/>
        <v>0.9</v>
      </c>
      <c r="O146" s="601">
        <f t="shared" si="214"/>
        <v>3.25</v>
      </c>
      <c r="P146" s="602">
        <f>MROUND(1/$J146*IF(K146="Petrol",Aannames!$F$65,$E$297),0.05)</f>
        <v>1.3</v>
      </c>
      <c r="Q146" s="594">
        <f t="shared" si="202"/>
        <v>0.95000000000000007</v>
      </c>
      <c r="R146" s="600">
        <f t="shared" si="215"/>
        <v>0.45</v>
      </c>
      <c r="S146" s="601">
        <f t="shared" si="216"/>
        <v>2.7</v>
      </c>
      <c r="T146" s="598">
        <f t="shared" si="217"/>
        <v>4.6500000000000004</v>
      </c>
      <c r="U146" s="599">
        <f t="shared" si="218"/>
        <v>5.95</v>
      </c>
      <c r="V146" s="597"/>
      <c r="W146" s="603">
        <f t="shared" si="207"/>
        <v>3.8425000000000001E-2</v>
      </c>
      <c r="X146" s="594">
        <f t="shared" si="219"/>
        <v>0.17</v>
      </c>
      <c r="Y146" s="600">
        <f t="shared" si="209"/>
        <v>0.24584250000000002</v>
      </c>
      <c r="Z146" s="604">
        <f t="shared" si="220"/>
        <v>0.45426750000000005</v>
      </c>
      <c r="AB146" s="78" t="str">
        <f>Aannames!$C$198</f>
        <v>265  R 16</v>
      </c>
      <c r="AC146" s="772">
        <v>5</v>
      </c>
      <c r="AD146" s="80">
        <f t="shared" si="211"/>
        <v>3.4000000000000002E-2</v>
      </c>
    </row>
    <row r="147" spans="1:30">
      <c r="A147" s="310">
        <f t="shared" si="212"/>
        <v>147</v>
      </c>
      <c r="B147" s="69"/>
      <c r="C147" s="795"/>
      <c r="D147" s="153" t="s">
        <v>1424</v>
      </c>
      <c r="E147" s="678">
        <v>247995</v>
      </c>
      <c r="F147" s="12">
        <v>160000</v>
      </c>
      <c r="G147" s="12">
        <v>20000</v>
      </c>
      <c r="H147" s="12">
        <v>50</v>
      </c>
      <c r="I147" s="576">
        <v>11.9</v>
      </c>
      <c r="J147" s="575">
        <f t="shared" si="213"/>
        <v>8.4033613445378155</v>
      </c>
      <c r="K147" s="120" t="s">
        <v>147</v>
      </c>
      <c r="L147" s="594">
        <f t="shared" si="198"/>
        <v>1.4000000000000001</v>
      </c>
      <c r="M147" s="595">
        <f t="shared" si="199"/>
        <v>0.5</v>
      </c>
      <c r="N147" s="600">
        <f t="shared" si="200"/>
        <v>0.70000000000000007</v>
      </c>
      <c r="O147" s="601">
        <f t="shared" si="214"/>
        <v>2.6</v>
      </c>
      <c r="P147" s="602">
        <f>MROUND(1/$J147*IF(K147="Petrol",Aannames!$F$65,$E$297),0.05)</f>
        <v>1.4500000000000002</v>
      </c>
      <c r="Q147" s="594">
        <f t="shared" si="202"/>
        <v>0.75</v>
      </c>
      <c r="R147" s="600">
        <f t="shared" si="215"/>
        <v>0.45</v>
      </c>
      <c r="S147" s="601">
        <f t="shared" si="216"/>
        <v>2.6500000000000004</v>
      </c>
      <c r="T147" s="598">
        <f t="shared" si="217"/>
        <v>3.8</v>
      </c>
      <c r="U147" s="599">
        <f t="shared" si="218"/>
        <v>5.25</v>
      </c>
      <c r="V147" s="597"/>
      <c r="W147" s="603">
        <f t="shared" si="207"/>
        <v>4.3137499999999995E-2</v>
      </c>
      <c r="X147" s="594">
        <f t="shared" si="219"/>
        <v>0.17</v>
      </c>
      <c r="Y147" s="600">
        <f t="shared" si="209"/>
        <v>0.24131374999999999</v>
      </c>
      <c r="Z147" s="604">
        <f t="shared" si="220"/>
        <v>0.45445124999999997</v>
      </c>
      <c r="AB147" s="78" t="str">
        <f>Aannames!$C$198</f>
        <v>265  R 16</v>
      </c>
      <c r="AC147" s="772">
        <v>5</v>
      </c>
      <c r="AD147" s="80">
        <f t="shared" si="211"/>
        <v>3.4000000000000002E-2</v>
      </c>
    </row>
    <row r="148" spans="1:30">
      <c r="A148" s="310">
        <f t="shared" si="212"/>
        <v>148</v>
      </c>
      <c r="B148" s="69"/>
      <c r="C148" s="795"/>
      <c r="D148" s="153" t="s">
        <v>1425</v>
      </c>
      <c r="E148" s="678">
        <v>274995</v>
      </c>
      <c r="F148" s="12">
        <v>160000</v>
      </c>
      <c r="G148" s="12">
        <v>20000</v>
      </c>
      <c r="H148" s="12">
        <v>50</v>
      </c>
      <c r="I148" s="576">
        <v>11.9</v>
      </c>
      <c r="J148" s="575">
        <f t="shared" si="213"/>
        <v>8.4033613445378155</v>
      </c>
      <c r="K148" s="120" t="s">
        <v>147</v>
      </c>
      <c r="L148" s="594">
        <f t="shared" si="198"/>
        <v>1.55</v>
      </c>
      <c r="M148" s="595">
        <f t="shared" si="199"/>
        <v>0.55000000000000004</v>
      </c>
      <c r="N148" s="600">
        <f t="shared" si="200"/>
        <v>0.8</v>
      </c>
      <c r="O148" s="601">
        <f t="shared" si="214"/>
        <v>2.9000000000000004</v>
      </c>
      <c r="P148" s="602">
        <f>MROUND(1/$J148*IF(K148="Petrol",Aannames!$F$65,$E$297),0.05)</f>
        <v>1.4500000000000002</v>
      </c>
      <c r="Q148" s="594">
        <f t="shared" si="202"/>
        <v>0.85000000000000009</v>
      </c>
      <c r="R148" s="600">
        <f t="shared" si="215"/>
        <v>0.45</v>
      </c>
      <c r="S148" s="601">
        <f t="shared" si="216"/>
        <v>2.7500000000000004</v>
      </c>
      <c r="T148" s="598">
        <f t="shared" si="217"/>
        <v>4.2</v>
      </c>
      <c r="U148" s="599">
        <f t="shared" si="218"/>
        <v>5.65</v>
      </c>
      <c r="V148" s="597"/>
      <c r="W148" s="603">
        <f t="shared" si="207"/>
        <v>4.3137499999999995E-2</v>
      </c>
      <c r="X148" s="594">
        <f t="shared" si="219"/>
        <v>0.17</v>
      </c>
      <c r="Y148" s="600">
        <f t="shared" si="209"/>
        <v>0.25131375</v>
      </c>
      <c r="Z148" s="604">
        <f t="shared" si="220"/>
        <v>0.46445124999999998</v>
      </c>
      <c r="AB148" s="78" t="str">
        <f>Aannames!$C$198</f>
        <v>265  R 16</v>
      </c>
      <c r="AC148" s="772">
        <v>5</v>
      </c>
      <c r="AD148" s="80">
        <f t="shared" si="211"/>
        <v>3.4000000000000002E-2</v>
      </c>
    </row>
    <row r="149" spans="1:30">
      <c r="A149" s="310">
        <f t="shared" si="212"/>
        <v>149</v>
      </c>
      <c r="B149" s="69"/>
      <c r="C149" s="795"/>
      <c r="D149" s="153" t="s">
        <v>1426</v>
      </c>
      <c r="E149" s="678">
        <v>270995</v>
      </c>
      <c r="F149" s="12">
        <v>160000</v>
      </c>
      <c r="G149" s="12">
        <v>20000</v>
      </c>
      <c r="H149" s="12">
        <v>50</v>
      </c>
      <c r="I149" s="576">
        <v>10.6</v>
      </c>
      <c r="J149" s="575">
        <f t="shared" si="213"/>
        <v>9.433962264150944</v>
      </c>
      <c r="K149" s="120" t="s">
        <v>147</v>
      </c>
      <c r="L149" s="594">
        <f t="shared" si="198"/>
        <v>1.5</v>
      </c>
      <c r="M149" s="595">
        <f t="shared" si="199"/>
        <v>0.55000000000000004</v>
      </c>
      <c r="N149" s="600">
        <f t="shared" si="200"/>
        <v>0.8</v>
      </c>
      <c r="O149" s="601">
        <f t="shared" si="214"/>
        <v>2.8499999999999996</v>
      </c>
      <c r="P149" s="602">
        <f>MROUND(1/$J149*IF(K149="Petrol",Aannames!$F$65,$E$297),0.05)</f>
        <v>1.3</v>
      </c>
      <c r="Q149" s="594">
        <f t="shared" si="202"/>
        <v>0.85000000000000009</v>
      </c>
      <c r="R149" s="600">
        <f t="shared" si="215"/>
        <v>0.45</v>
      </c>
      <c r="S149" s="601">
        <f t="shared" si="216"/>
        <v>2.6000000000000005</v>
      </c>
      <c r="T149" s="598">
        <f t="shared" si="217"/>
        <v>4.1500000000000004</v>
      </c>
      <c r="U149" s="599">
        <f t="shared" si="218"/>
        <v>5.45</v>
      </c>
      <c r="V149" s="597"/>
      <c r="W149" s="603">
        <f t="shared" si="207"/>
        <v>3.8425000000000001E-2</v>
      </c>
      <c r="X149" s="594">
        <f t="shared" si="219"/>
        <v>0.17</v>
      </c>
      <c r="Y149" s="600">
        <f t="shared" si="209"/>
        <v>0.23584250000000004</v>
      </c>
      <c r="Z149" s="604">
        <f t="shared" si="220"/>
        <v>0.44426750000000004</v>
      </c>
      <c r="AB149" s="78" t="str">
        <f>Aannames!$C$198</f>
        <v>265  R 16</v>
      </c>
      <c r="AC149" s="772">
        <v>5</v>
      </c>
      <c r="AD149" s="80">
        <f t="shared" si="211"/>
        <v>3.4000000000000002E-2</v>
      </c>
    </row>
    <row r="150" spans="1:30">
      <c r="A150" s="310">
        <f t="shared" ref="A150:A156" si="221">IF(ISNUMBER(E150),ROW(),"")</f>
        <v>150</v>
      </c>
      <c r="C150" s="795"/>
      <c r="D150" s="167" t="s">
        <v>1427</v>
      </c>
      <c r="E150" s="678">
        <v>299995</v>
      </c>
      <c r="F150" s="12">
        <v>160000</v>
      </c>
      <c r="G150" s="12">
        <v>20000</v>
      </c>
      <c r="H150" s="12">
        <v>50</v>
      </c>
      <c r="I150" s="576">
        <v>10.6</v>
      </c>
      <c r="J150" s="575">
        <f t="shared" ref="J150:J156" si="222">100/I150</f>
        <v>9.433962264150944</v>
      </c>
      <c r="K150" s="120" t="s">
        <v>147</v>
      </c>
      <c r="L150" s="594">
        <f t="shared" si="198"/>
        <v>1.7000000000000002</v>
      </c>
      <c r="M150" s="595">
        <f t="shared" si="199"/>
        <v>0.60000000000000009</v>
      </c>
      <c r="N150" s="600">
        <f t="shared" si="200"/>
        <v>0.85000000000000009</v>
      </c>
      <c r="O150" s="601">
        <f t="shared" ref="O150:O156" si="223">SUM(L150:N150)</f>
        <v>3.1500000000000004</v>
      </c>
      <c r="P150" s="602">
        <f>MROUND(1/$J150*IF(K150="Petrol",Aannames!$F$65,$E$297),0.05)</f>
        <v>1.3</v>
      </c>
      <c r="Q150" s="594">
        <f t="shared" si="202"/>
        <v>0.95000000000000007</v>
      </c>
      <c r="R150" s="600">
        <f t="shared" ref="R150:R156" si="224">MROUND(SUM(Z150),0.05)</f>
        <v>0.45</v>
      </c>
      <c r="S150" s="601">
        <f t="shared" ref="S150:S156" si="225">SUM(P150:R150)</f>
        <v>2.7</v>
      </c>
      <c r="T150" s="598">
        <f t="shared" ref="T150:T156" si="226">U150-P150</f>
        <v>4.5500000000000007</v>
      </c>
      <c r="U150" s="599">
        <f t="shared" ref="U150:U156" si="227">S150+O150</f>
        <v>5.8500000000000005</v>
      </c>
      <c r="V150" s="597"/>
      <c r="W150" s="603">
        <f t="shared" si="207"/>
        <v>3.8425000000000001E-2</v>
      </c>
      <c r="X150" s="594">
        <f t="shared" ref="X150:X156" si="228">AC150*AD150</f>
        <v>0.17</v>
      </c>
      <c r="Y150" s="600">
        <f t="shared" si="209"/>
        <v>0.24584250000000002</v>
      </c>
      <c r="Z150" s="604">
        <f t="shared" ref="Z150:Z156" si="229">SUM(W150:Y150)</f>
        <v>0.45426750000000005</v>
      </c>
      <c r="AB150" s="78" t="str">
        <f>Aannames!$C$198</f>
        <v>265  R 16</v>
      </c>
      <c r="AC150" s="772">
        <v>5</v>
      </c>
      <c r="AD150" s="80">
        <f t="shared" si="211"/>
        <v>3.4000000000000002E-2</v>
      </c>
    </row>
    <row r="151" spans="1:30">
      <c r="A151" s="310">
        <f t="shared" si="221"/>
        <v>151</v>
      </c>
      <c r="C151" s="795"/>
      <c r="D151" s="167" t="s">
        <v>1428</v>
      </c>
      <c r="E151" s="678">
        <v>297995</v>
      </c>
      <c r="F151" s="12">
        <v>160000</v>
      </c>
      <c r="G151" s="12">
        <v>20000</v>
      </c>
      <c r="H151" s="12">
        <v>50</v>
      </c>
      <c r="I151" s="576">
        <v>10.6</v>
      </c>
      <c r="J151" s="575">
        <f t="shared" si="222"/>
        <v>9.433962264150944</v>
      </c>
      <c r="K151" s="120" t="s">
        <v>147</v>
      </c>
      <c r="L151" s="594">
        <f t="shared" si="198"/>
        <v>1.7000000000000002</v>
      </c>
      <c r="M151" s="595">
        <f t="shared" si="199"/>
        <v>0.60000000000000009</v>
      </c>
      <c r="N151" s="600">
        <f t="shared" si="200"/>
        <v>0.85000000000000009</v>
      </c>
      <c r="O151" s="601">
        <f t="shared" si="223"/>
        <v>3.1500000000000004</v>
      </c>
      <c r="P151" s="602">
        <f>MROUND(1/$J151*IF(K151="Petrol",Aannames!$F$65,$E$297),0.05)</f>
        <v>1.3</v>
      </c>
      <c r="Q151" s="594">
        <f t="shared" si="202"/>
        <v>0.95000000000000007</v>
      </c>
      <c r="R151" s="600">
        <f t="shared" si="224"/>
        <v>0.45</v>
      </c>
      <c r="S151" s="601">
        <f t="shared" si="225"/>
        <v>2.7</v>
      </c>
      <c r="T151" s="598">
        <f t="shared" si="226"/>
        <v>4.5500000000000007</v>
      </c>
      <c r="U151" s="599">
        <f t="shared" si="227"/>
        <v>5.8500000000000005</v>
      </c>
      <c r="V151" s="597"/>
      <c r="W151" s="603">
        <f t="shared" si="207"/>
        <v>3.8425000000000001E-2</v>
      </c>
      <c r="X151" s="594">
        <f t="shared" si="228"/>
        <v>0.17</v>
      </c>
      <c r="Y151" s="600">
        <f t="shared" si="209"/>
        <v>0.24584250000000002</v>
      </c>
      <c r="Z151" s="604">
        <f t="shared" si="229"/>
        <v>0.45426750000000005</v>
      </c>
      <c r="AB151" s="78" t="str">
        <f>Aannames!$C$198</f>
        <v>265  R 16</v>
      </c>
      <c r="AC151" s="772">
        <v>5</v>
      </c>
      <c r="AD151" s="80">
        <f t="shared" si="211"/>
        <v>3.4000000000000002E-2</v>
      </c>
    </row>
    <row r="152" spans="1:30">
      <c r="A152" s="310">
        <f t="shared" si="221"/>
        <v>152</v>
      </c>
      <c r="C152" s="795"/>
      <c r="D152" s="167" t="s">
        <v>1429</v>
      </c>
      <c r="E152" s="678">
        <v>324995</v>
      </c>
      <c r="F152" s="12">
        <v>160000</v>
      </c>
      <c r="G152" s="12">
        <v>20000</v>
      </c>
      <c r="H152" s="12">
        <v>50</v>
      </c>
      <c r="I152" s="576">
        <v>10.6</v>
      </c>
      <c r="J152" s="575">
        <f t="shared" si="222"/>
        <v>9.433962264150944</v>
      </c>
      <c r="K152" s="120" t="s">
        <v>147</v>
      </c>
      <c r="L152" s="594">
        <f t="shared" si="198"/>
        <v>1.85</v>
      </c>
      <c r="M152" s="595">
        <f t="shared" si="199"/>
        <v>0.65</v>
      </c>
      <c r="N152" s="600">
        <f t="shared" si="200"/>
        <v>0.95000000000000007</v>
      </c>
      <c r="O152" s="601">
        <f t="shared" si="223"/>
        <v>3.45</v>
      </c>
      <c r="P152" s="602">
        <f>MROUND(1/$J152*IF(K152="Petrol",Aannames!$F$65,$E$297),0.05)</f>
        <v>1.3</v>
      </c>
      <c r="Q152" s="594">
        <f t="shared" si="202"/>
        <v>1</v>
      </c>
      <c r="R152" s="600">
        <f t="shared" si="224"/>
        <v>0.45</v>
      </c>
      <c r="S152" s="601">
        <f t="shared" si="225"/>
        <v>2.75</v>
      </c>
      <c r="T152" s="598">
        <f t="shared" si="226"/>
        <v>4.9000000000000004</v>
      </c>
      <c r="U152" s="599">
        <f t="shared" si="227"/>
        <v>6.2</v>
      </c>
      <c r="V152" s="597"/>
      <c r="W152" s="603">
        <f t="shared" si="207"/>
        <v>3.8425000000000001E-2</v>
      </c>
      <c r="X152" s="594">
        <f t="shared" si="228"/>
        <v>0.17</v>
      </c>
      <c r="Y152" s="600">
        <f t="shared" si="209"/>
        <v>0.25084249999999997</v>
      </c>
      <c r="Z152" s="604">
        <f t="shared" si="229"/>
        <v>0.4592675</v>
      </c>
      <c r="AB152" s="78" t="str">
        <f>Aannames!$C$198</f>
        <v>265  R 16</v>
      </c>
      <c r="AC152" s="772">
        <v>5</v>
      </c>
      <c r="AD152" s="80">
        <f t="shared" si="211"/>
        <v>3.4000000000000002E-2</v>
      </c>
    </row>
    <row r="153" spans="1:30">
      <c r="A153" s="310">
        <f t="shared" si="221"/>
        <v>153</v>
      </c>
      <c r="B153" s="69"/>
      <c r="C153" s="795"/>
      <c r="D153" s="153" t="s">
        <v>1430</v>
      </c>
      <c r="E153" s="678">
        <v>254995</v>
      </c>
      <c r="F153" s="12">
        <v>160000</v>
      </c>
      <c r="G153" s="12">
        <v>20000</v>
      </c>
      <c r="H153" s="12">
        <v>50</v>
      </c>
      <c r="I153" s="576">
        <v>10.6</v>
      </c>
      <c r="J153" s="575">
        <f t="shared" si="222"/>
        <v>9.433962264150944</v>
      </c>
      <c r="K153" s="120" t="s">
        <v>147</v>
      </c>
      <c r="L153" s="594">
        <f t="shared" si="198"/>
        <v>1.4500000000000002</v>
      </c>
      <c r="M153" s="595">
        <f t="shared" si="199"/>
        <v>0.55000000000000004</v>
      </c>
      <c r="N153" s="600">
        <f t="shared" si="200"/>
        <v>0.75</v>
      </c>
      <c r="O153" s="601">
        <f t="shared" si="223"/>
        <v>2.75</v>
      </c>
      <c r="P153" s="602">
        <f>MROUND(1/$J153*IF(K153="Petrol",Aannames!$F$65,$E$297),0.05)</f>
        <v>1.3</v>
      </c>
      <c r="Q153" s="594">
        <f t="shared" si="202"/>
        <v>0.8</v>
      </c>
      <c r="R153" s="600">
        <f t="shared" si="224"/>
        <v>0.45</v>
      </c>
      <c r="S153" s="601">
        <f t="shared" si="225"/>
        <v>2.5500000000000003</v>
      </c>
      <c r="T153" s="598">
        <f t="shared" si="226"/>
        <v>4.0000000000000009</v>
      </c>
      <c r="U153" s="599">
        <f t="shared" si="227"/>
        <v>5.3000000000000007</v>
      </c>
      <c r="V153" s="597"/>
      <c r="W153" s="603">
        <f t="shared" si="207"/>
        <v>3.8425000000000001E-2</v>
      </c>
      <c r="X153" s="594">
        <f t="shared" si="228"/>
        <v>0.17</v>
      </c>
      <c r="Y153" s="600">
        <f t="shared" si="209"/>
        <v>0.23084250000000001</v>
      </c>
      <c r="Z153" s="604">
        <f t="shared" si="229"/>
        <v>0.43926750000000003</v>
      </c>
      <c r="AB153" s="78" t="str">
        <f>Aannames!$C$198</f>
        <v>265  R 16</v>
      </c>
      <c r="AC153" s="772">
        <v>5</v>
      </c>
      <c r="AD153" s="80">
        <f t="shared" si="211"/>
        <v>3.4000000000000002E-2</v>
      </c>
    </row>
    <row r="154" spans="1:30">
      <c r="A154" s="310">
        <f t="shared" si="221"/>
        <v>154</v>
      </c>
      <c r="B154" s="69"/>
      <c r="C154" s="795"/>
      <c r="D154" s="153" t="s">
        <v>1431</v>
      </c>
      <c r="E154" s="678">
        <v>280995</v>
      </c>
      <c r="F154" s="12">
        <v>160000</v>
      </c>
      <c r="G154" s="12">
        <v>20000</v>
      </c>
      <c r="H154" s="12">
        <v>50</v>
      </c>
      <c r="I154" s="576">
        <v>10.6</v>
      </c>
      <c r="J154" s="575">
        <f t="shared" si="222"/>
        <v>9.433962264150944</v>
      </c>
      <c r="K154" s="120" t="s">
        <v>147</v>
      </c>
      <c r="L154" s="594">
        <f t="shared" si="198"/>
        <v>1.6</v>
      </c>
      <c r="M154" s="595">
        <f t="shared" si="199"/>
        <v>0.60000000000000009</v>
      </c>
      <c r="N154" s="600">
        <f t="shared" si="200"/>
        <v>0.8</v>
      </c>
      <c r="O154" s="601">
        <f t="shared" si="223"/>
        <v>3</v>
      </c>
      <c r="P154" s="602">
        <f>MROUND(1/$J154*IF(K154="Petrol",Aannames!$F$65,$E$297),0.05)</f>
        <v>1.3</v>
      </c>
      <c r="Q154" s="594">
        <f t="shared" si="202"/>
        <v>0.9</v>
      </c>
      <c r="R154" s="600">
        <f t="shared" si="224"/>
        <v>0.45</v>
      </c>
      <c r="S154" s="601">
        <f t="shared" si="225"/>
        <v>2.6500000000000004</v>
      </c>
      <c r="T154" s="598">
        <f t="shared" si="226"/>
        <v>4.3500000000000005</v>
      </c>
      <c r="U154" s="599">
        <f t="shared" si="227"/>
        <v>5.65</v>
      </c>
      <c r="V154" s="597"/>
      <c r="W154" s="603">
        <f t="shared" si="207"/>
        <v>3.8425000000000001E-2</v>
      </c>
      <c r="X154" s="594">
        <f t="shared" si="228"/>
        <v>0.17</v>
      </c>
      <c r="Y154" s="600">
        <f t="shared" si="209"/>
        <v>0.24084250000000004</v>
      </c>
      <c r="Z154" s="604">
        <f t="shared" si="229"/>
        <v>0.44926750000000004</v>
      </c>
      <c r="AB154" s="78" t="str">
        <f>Aannames!$C$198</f>
        <v>265  R 16</v>
      </c>
      <c r="AC154" s="772">
        <v>5</v>
      </c>
      <c r="AD154" s="80">
        <f t="shared" si="211"/>
        <v>3.4000000000000002E-2</v>
      </c>
    </row>
    <row r="155" spans="1:30">
      <c r="A155" s="310">
        <f t="shared" si="221"/>
        <v>155</v>
      </c>
      <c r="B155" s="69"/>
      <c r="C155" s="795"/>
      <c r="D155" s="153" t="s">
        <v>1432</v>
      </c>
      <c r="E155" s="678">
        <v>294995</v>
      </c>
      <c r="F155" s="12">
        <v>160000</v>
      </c>
      <c r="G155" s="12">
        <v>20000</v>
      </c>
      <c r="H155" s="12">
        <v>50</v>
      </c>
      <c r="I155" s="576">
        <v>10.6</v>
      </c>
      <c r="J155" s="575">
        <f t="shared" si="222"/>
        <v>9.433962264150944</v>
      </c>
      <c r="K155" s="120" t="s">
        <v>147</v>
      </c>
      <c r="L155" s="594">
        <f t="shared" si="198"/>
        <v>1.6500000000000001</v>
      </c>
      <c r="M155" s="595">
        <f t="shared" si="199"/>
        <v>0.60000000000000009</v>
      </c>
      <c r="N155" s="600">
        <f t="shared" si="200"/>
        <v>0.85000000000000009</v>
      </c>
      <c r="O155" s="601">
        <f t="shared" si="223"/>
        <v>3.1</v>
      </c>
      <c r="P155" s="602">
        <f>MROUND(1/$J155*IF(K155="Petrol",Aannames!$F$65,$E$297),0.05)</f>
        <v>1.3</v>
      </c>
      <c r="Q155" s="594">
        <f t="shared" si="202"/>
        <v>0.9</v>
      </c>
      <c r="R155" s="600">
        <f t="shared" si="224"/>
        <v>0.45</v>
      </c>
      <c r="S155" s="601">
        <f t="shared" si="225"/>
        <v>2.6500000000000004</v>
      </c>
      <c r="T155" s="598">
        <f t="shared" si="226"/>
        <v>4.45</v>
      </c>
      <c r="U155" s="599">
        <f t="shared" si="227"/>
        <v>5.75</v>
      </c>
      <c r="V155" s="597"/>
      <c r="W155" s="603">
        <f t="shared" si="207"/>
        <v>3.8425000000000001E-2</v>
      </c>
      <c r="X155" s="594">
        <f t="shared" si="228"/>
        <v>0.17</v>
      </c>
      <c r="Y155" s="600">
        <f t="shared" si="209"/>
        <v>0.24084250000000004</v>
      </c>
      <c r="Z155" s="604">
        <f t="shared" si="229"/>
        <v>0.44926750000000004</v>
      </c>
      <c r="AB155" s="78" t="str">
        <f>Aannames!$C$198</f>
        <v>265  R 16</v>
      </c>
      <c r="AC155" s="772">
        <v>5</v>
      </c>
      <c r="AD155" s="80">
        <f t="shared" si="211"/>
        <v>3.4000000000000002E-2</v>
      </c>
    </row>
    <row r="156" spans="1:30">
      <c r="A156" s="310">
        <f t="shared" si="221"/>
        <v>156</v>
      </c>
      <c r="B156" s="69"/>
      <c r="C156" s="795"/>
      <c r="D156" s="153" t="s">
        <v>1433</v>
      </c>
      <c r="E156" s="678">
        <v>320995</v>
      </c>
      <c r="F156" s="12">
        <v>160000</v>
      </c>
      <c r="G156" s="12">
        <v>20000</v>
      </c>
      <c r="H156" s="12">
        <v>50</v>
      </c>
      <c r="I156" s="576">
        <v>10.6</v>
      </c>
      <c r="J156" s="575">
        <f t="shared" si="222"/>
        <v>9.433962264150944</v>
      </c>
      <c r="K156" s="120" t="s">
        <v>147</v>
      </c>
      <c r="L156" s="594">
        <f t="shared" si="198"/>
        <v>1.8</v>
      </c>
      <c r="M156" s="595">
        <f t="shared" si="199"/>
        <v>0.65</v>
      </c>
      <c r="N156" s="600">
        <f t="shared" si="200"/>
        <v>0.95000000000000007</v>
      </c>
      <c r="O156" s="601">
        <f t="shared" si="223"/>
        <v>3.4000000000000004</v>
      </c>
      <c r="P156" s="602">
        <f>MROUND(1/$J156*IF(K156="Petrol",Aannames!$F$65,$E$297),0.05)</f>
        <v>1.3</v>
      </c>
      <c r="Q156" s="594">
        <f t="shared" si="202"/>
        <v>1</v>
      </c>
      <c r="R156" s="600">
        <f t="shared" si="224"/>
        <v>0.45</v>
      </c>
      <c r="S156" s="601">
        <f t="shared" si="225"/>
        <v>2.75</v>
      </c>
      <c r="T156" s="598">
        <f t="shared" si="226"/>
        <v>4.8500000000000005</v>
      </c>
      <c r="U156" s="599">
        <f t="shared" si="227"/>
        <v>6.15</v>
      </c>
      <c r="V156" s="597"/>
      <c r="W156" s="603">
        <f t="shared" si="207"/>
        <v>3.8425000000000001E-2</v>
      </c>
      <c r="X156" s="594">
        <f t="shared" si="228"/>
        <v>0.17</v>
      </c>
      <c r="Y156" s="600">
        <f t="shared" si="209"/>
        <v>0.25084249999999997</v>
      </c>
      <c r="Z156" s="604">
        <f t="shared" si="229"/>
        <v>0.4592675</v>
      </c>
      <c r="AB156" s="78" t="str">
        <f>Aannames!$C$198</f>
        <v>265  R 16</v>
      </c>
      <c r="AC156" s="772">
        <v>5</v>
      </c>
      <c r="AD156" s="80">
        <f t="shared" si="211"/>
        <v>3.4000000000000002E-2</v>
      </c>
    </row>
    <row r="157" spans="1:30">
      <c r="A157" s="310"/>
      <c r="B157" s="69"/>
      <c r="C157" s="795"/>
      <c r="D157" s="153"/>
      <c r="E157" s="678"/>
      <c r="F157" s="12"/>
      <c r="G157" s="12"/>
      <c r="H157" s="12"/>
      <c r="I157" s="576"/>
      <c r="J157" s="575"/>
      <c r="K157" s="120"/>
      <c r="L157" s="594"/>
      <c r="M157" s="595"/>
      <c r="N157" s="600"/>
      <c r="O157" s="601"/>
      <c r="P157" s="602"/>
      <c r="Q157" s="594"/>
      <c r="R157" s="600"/>
      <c r="S157" s="601"/>
      <c r="T157" s="598"/>
      <c r="U157" s="599"/>
      <c r="V157" s="597"/>
      <c r="W157" s="603"/>
      <c r="X157" s="594"/>
      <c r="Y157" s="600"/>
      <c r="Z157" s="604"/>
      <c r="AC157" s="772"/>
    </row>
    <row r="158" spans="1:30" ht="15.75">
      <c r="A158" s="310" t="str">
        <f t="shared" ref="A158:A168" si="230">IF(ISNUMBER(E158),ROW(),"")</f>
        <v/>
      </c>
      <c r="C158" s="791" t="s">
        <v>1435</v>
      </c>
      <c r="E158" s="678"/>
      <c r="F158" s="12"/>
      <c r="G158" s="12"/>
      <c r="H158" s="12"/>
      <c r="I158" s="576"/>
      <c r="J158" s="575"/>
      <c r="K158" s="120"/>
      <c r="L158" s="594"/>
      <c r="M158" s="595"/>
      <c r="N158" s="600"/>
      <c r="O158" s="601"/>
      <c r="P158" s="602"/>
      <c r="Q158" s="594"/>
      <c r="R158" s="600"/>
      <c r="S158" s="601"/>
      <c r="T158" s="598"/>
      <c r="U158" s="599"/>
      <c r="V158" s="597"/>
      <c r="W158" s="603"/>
      <c r="X158" s="594"/>
      <c r="Y158" s="600"/>
      <c r="Z158" s="604"/>
      <c r="AC158" s="772"/>
    </row>
    <row r="159" spans="1:30">
      <c r="A159" s="310">
        <f t="shared" si="230"/>
        <v>159</v>
      </c>
      <c r="C159" s="795"/>
      <c r="D159" s="167" t="s">
        <v>1436</v>
      </c>
      <c r="E159" s="678">
        <v>322500</v>
      </c>
      <c r="F159" s="12">
        <v>160000</v>
      </c>
      <c r="G159" s="12">
        <v>20000</v>
      </c>
      <c r="H159" s="12">
        <v>50</v>
      </c>
      <c r="I159" s="576">
        <v>9.1</v>
      </c>
      <c r="J159" s="575">
        <f t="shared" ref="J159:J168" si="231">100/I159</f>
        <v>10.989010989010989</v>
      </c>
      <c r="K159" s="120" t="s">
        <v>147</v>
      </c>
      <c r="L159" s="594">
        <f t="shared" ref="L159:L168" si="232">MROUND($E159*(1-$E$295/100)/F159,0.05)</f>
        <v>1.8</v>
      </c>
      <c r="M159" s="595">
        <f t="shared" ref="M159:M168" si="233">MROUND($E159*(1+$E$295/100)/2*$F$304/100/$G159,0.05)</f>
        <v>0.65</v>
      </c>
      <c r="N159" s="600">
        <f t="shared" ref="N159:N168" si="234">MROUND($E159*(1+$E$295/100)/2*$E$296/100/$G159,0.05)</f>
        <v>0.95000000000000007</v>
      </c>
      <c r="O159" s="601">
        <f t="shared" ref="O159:O168" si="235">SUM(L159:N159)</f>
        <v>3.4000000000000004</v>
      </c>
      <c r="P159" s="602">
        <f>MROUND(1/$J159*IF(K159="Petrol",Aannames!$F$65,$E$297),0.05)</f>
        <v>1.1000000000000001</v>
      </c>
      <c r="Q159" s="594">
        <f t="shared" ref="Q159:Q168" si="236">MROUND($E159*$H159/100/$F159,0.05)</f>
        <v>1</v>
      </c>
      <c r="R159" s="600">
        <f t="shared" ref="R159:R168" si="237">MROUND(SUM(Z159),0.05)</f>
        <v>0.45</v>
      </c>
      <c r="S159" s="601">
        <f t="shared" ref="S159:S168" si="238">SUM(P159:R159)</f>
        <v>2.5500000000000003</v>
      </c>
      <c r="T159" s="598">
        <f t="shared" ref="T159:T168" si="239">U159-P159</f>
        <v>4.8500000000000014</v>
      </c>
      <c r="U159" s="599">
        <f t="shared" ref="U159:U168" si="240">S159+O159</f>
        <v>5.9500000000000011</v>
      </c>
      <c r="V159" s="597"/>
      <c r="W159" s="603">
        <f t="shared" ref="W159:W168" si="241">1/$J159*$F$314/100*$K$300</f>
        <v>3.2987500000000003E-2</v>
      </c>
      <c r="X159" s="594">
        <f t="shared" ref="X159:X168" si="242">AC159*AD159</f>
        <v>0.17</v>
      </c>
      <c r="Y159" s="600">
        <f t="shared" ref="Y159:Y168" si="243">SUM(P159,Q159,W159,X159)*$F$308/100</f>
        <v>0.23029875</v>
      </c>
      <c r="Z159" s="604">
        <f t="shared" ref="Z159:Z168" si="244">SUM(W159:Y159)</f>
        <v>0.43328624999999998</v>
      </c>
      <c r="AB159" s="78" t="str">
        <f>Aannames!$C$198</f>
        <v>265  R 16</v>
      </c>
      <c r="AC159" s="772">
        <v>5</v>
      </c>
      <c r="AD159" s="80">
        <f t="shared" ref="AD159:AD168" si="245">$I$320</f>
        <v>3.4000000000000002E-2</v>
      </c>
    </row>
    <row r="160" spans="1:30">
      <c r="A160" s="310">
        <f t="shared" si="230"/>
        <v>160</v>
      </c>
      <c r="C160" s="795"/>
      <c r="D160" s="167" t="s">
        <v>1437</v>
      </c>
      <c r="E160" s="678">
        <v>339900</v>
      </c>
      <c r="F160" s="12">
        <v>160000</v>
      </c>
      <c r="G160" s="12">
        <v>20000</v>
      </c>
      <c r="H160" s="12">
        <v>50</v>
      </c>
      <c r="I160" s="576">
        <v>9.1999999999999993</v>
      </c>
      <c r="J160" s="575">
        <f t="shared" si="231"/>
        <v>10.869565217391305</v>
      </c>
      <c r="K160" s="120" t="s">
        <v>147</v>
      </c>
      <c r="L160" s="594">
        <f t="shared" si="232"/>
        <v>1.9000000000000001</v>
      </c>
      <c r="M160" s="595">
        <f t="shared" si="233"/>
        <v>0.70000000000000007</v>
      </c>
      <c r="N160" s="600">
        <f t="shared" si="234"/>
        <v>1</v>
      </c>
      <c r="O160" s="601">
        <f t="shared" si="235"/>
        <v>3.6</v>
      </c>
      <c r="P160" s="602">
        <f>MROUND(1/$J160*IF(K160="Petrol",Aannames!$F$65,$E$297),0.05)</f>
        <v>1.1500000000000001</v>
      </c>
      <c r="Q160" s="594">
        <f t="shared" si="236"/>
        <v>1.05</v>
      </c>
      <c r="R160" s="600">
        <f t="shared" si="237"/>
        <v>0.45</v>
      </c>
      <c r="S160" s="601">
        <f t="shared" si="238"/>
        <v>2.6500000000000004</v>
      </c>
      <c r="T160" s="598">
        <f t="shared" si="239"/>
        <v>5.0999999999999996</v>
      </c>
      <c r="U160" s="599">
        <f t="shared" si="240"/>
        <v>6.25</v>
      </c>
      <c r="V160" s="597"/>
      <c r="W160" s="603">
        <f t="shared" si="241"/>
        <v>3.3349999999999998E-2</v>
      </c>
      <c r="X160" s="594">
        <f t="shared" si="242"/>
        <v>0.17</v>
      </c>
      <c r="Y160" s="600">
        <f t="shared" si="243"/>
        <v>0.24033499999999999</v>
      </c>
      <c r="Z160" s="604">
        <f t="shared" si="244"/>
        <v>0.443685</v>
      </c>
      <c r="AB160" s="78" t="str">
        <f>Aannames!$C$198</f>
        <v>265  R 16</v>
      </c>
      <c r="AC160" s="772">
        <v>5</v>
      </c>
      <c r="AD160" s="80">
        <f t="shared" si="245"/>
        <v>3.4000000000000002E-2</v>
      </c>
    </row>
    <row r="161" spans="1:30">
      <c r="A161" s="310">
        <f t="shared" si="230"/>
        <v>161</v>
      </c>
      <c r="C161" s="795"/>
      <c r="D161" s="167" t="s">
        <v>1438</v>
      </c>
      <c r="E161" s="678">
        <v>380300</v>
      </c>
      <c r="F161" s="12">
        <v>160000</v>
      </c>
      <c r="G161" s="12">
        <v>20000</v>
      </c>
      <c r="H161" s="12">
        <v>50</v>
      </c>
      <c r="I161" s="576">
        <v>11.2</v>
      </c>
      <c r="J161" s="575">
        <f t="shared" si="231"/>
        <v>8.9285714285714288</v>
      </c>
      <c r="K161" s="120" t="s">
        <v>147</v>
      </c>
      <c r="L161" s="594">
        <f t="shared" si="232"/>
        <v>2.15</v>
      </c>
      <c r="M161" s="595">
        <f t="shared" si="233"/>
        <v>0.8</v>
      </c>
      <c r="N161" s="600">
        <f t="shared" si="234"/>
        <v>1.1000000000000001</v>
      </c>
      <c r="O161" s="601">
        <f t="shared" si="235"/>
        <v>4.0500000000000007</v>
      </c>
      <c r="P161" s="602">
        <f>MROUND(1/$J161*IF(K161="Petrol",Aannames!$F$65,$E$297),0.05)</f>
        <v>1.4000000000000001</v>
      </c>
      <c r="Q161" s="594">
        <f t="shared" si="236"/>
        <v>1.2000000000000002</v>
      </c>
      <c r="R161" s="600">
        <f t="shared" si="237"/>
        <v>0.5</v>
      </c>
      <c r="S161" s="601">
        <f t="shared" si="238"/>
        <v>3.1000000000000005</v>
      </c>
      <c r="T161" s="598">
        <f t="shared" si="239"/>
        <v>5.7500000000000009</v>
      </c>
      <c r="U161" s="599">
        <f t="shared" si="240"/>
        <v>7.1500000000000012</v>
      </c>
      <c r="V161" s="597"/>
      <c r="W161" s="603">
        <f t="shared" si="241"/>
        <v>4.0600000000000004E-2</v>
      </c>
      <c r="X161" s="594">
        <f t="shared" si="242"/>
        <v>0.17</v>
      </c>
      <c r="Y161" s="600">
        <f t="shared" si="243"/>
        <v>0.28106000000000003</v>
      </c>
      <c r="Z161" s="604">
        <f t="shared" si="244"/>
        <v>0.49166000000000004</v>
      </c>
      <c r="AB161" s="78" t="str">
        <f>Aannames!$C$198</f>
        <v>265  R 16</v>
      </c>
      <c r="AC161" s="772">
        <v>5</v>
      </c>
      <c r="AD161" s="80">
        <f t="shared" si="245"/>
        <v>3.4000000000000002E-2</v>
      </c>
    </row>
    <row r="162" spans="1:30">
      <c r="A162" s="310">
        <f t="shared" si="230"/>
        <v>162</v>
      </c>
      <c r="B162" s="69"/>
      <c r="C162" s="795"/>
      <c r="D162" s="153" t="s">
        <v>1439</v>
      </c>
      <c r="E162" s="678">
        <v>393200</v>
      </c>
      <c r="F162" s="12">
        <v>160000</v>
      </c>
      <c r="G162" s="12">
        <v>20000</v>
      </c>
      <c r="H162" s="12">
        <v>50</v>
      </c>
      <c r="I162" s="576">
        <v>10.9</v>
      </c>
      <c r="J162" s="575">
        <f t="shared" si="231"/>
        <v>9.1743119266055047</v>
      </c>
      <c r="K162" s="120" t="s">
        <v>147</v>
      </c>
      <c r="L162" s="594">
        <f t="shared" si="232"/>
        <v>2.2000000000000002</v>
      </c>
      <c r="M162" s="595">
        <f t="shared" si="233"/>
        <v>0.8</v>
      </c>
      <c r="N162" s="600">
        <f t="shared" si="234"/>
        <v>1.1500000000000001</v>
      </c>
      <c r="O162" s="601">
        <f t="shared" si="235"/>
        <v>4.1500000000000004</v>
      </c>
      <c r="P162" s="602">
        <f>MROUND(1/$J162*IF(K162="Petrol",Aannames!$F$65,$E$297),0.05)</f>
        <v>1.35</v>
      </c>
      <c r="Q162" s="594">
        <f t="shared" si="236"/>
        <v>1.25</v>
      </c>
      <c r="R162" s="600">
        <f t="shared" si="237"/>
        <v>0.5</v>
      </c>
      <c r="S162" s="601">
        <f t="shared" si="238"/>
        <v>3.1</v>
      </c>
      <c r="T162" s="598">
        <f t="shared" si="239"/>
        <v>5.9</v>
      </c>
      <c r="U162" s="599">
        <f t="shared" si="240"/>
        <v>7.25</v>
      </c>
      <c r="V162" s="597"/>
      <c r="W162" s="603">
        <f t="shared" si="241"/>
        <v>3.9512499999999999E-2</v>
      </c>
      <c r="X162" s="594">
        <f t="shared" si="242"/>
        <v>0.17</v>
      </c>
      <c r="Y162" s="600">
        <f t="shared" si="243"/>
        <v>0.28095124999999999</v>
      </c>
      <c r="Z162" s="604">
        <f t="shared" si="244"/>
        <v>0.49046374999999998</v>
      </c>
      <c r="AB162" s="78" t="str">
        <f>Aannames!$C$198</f>
        <v>265  R 16</v>
      </c>
      <c r="AC162" s="772">
        <v>5</v>
      </c>
      <c r="AD162" s="80">
        <f t="shared" si="245"/>
        <v>3.4000000000000002E-2</v>
      </c>
    </row>
    <row r="163" spans="1:30">
      <c r="A163" s="310">
        <f t="shared" si="230"/>
        <v>163</v>
      </c>
      <c r="B163" s="69"/>
      <c r="C163" s="795"/>
      <c r="D163" s="153" t="s">
        <v>1440</v>
      </c>
      <c r="E163" s="678">
        <v>436700</v>
      </c>
      <c r="F163" s="12">
        <v>160000</v>
      </c>
      <c r="G163" s="12">
        <v>20000</v>
      </c>
      <c r="H163" s="12">
        <v>50</v>
      </c>
      <c r="I163" s="576">
        <v>11.8</v>
      </c>
      <c r="J163" s="575">
        <f t="shared" si="231"/>
        <v>8.4745762711864394</v>
      </c>
      <c r="K163" s="120" t="s">
        <v>147</v>
      </c>
      <c r="L163" s="594">
        <f t="shared" si="232"/>
        <v>2.4500000000000002</v>
      </c>
      <c r="M163" s="595">
        <f t="shared" si="233"/>
        <v>0.9</v>
      </c>
      <c r="N163" s="600">
        <f t="shared" si="234"/>
        <v>1.25</v>
      </c>
      <c r="O163" s="601">
        <f t="shared" si="235"/>
        <v>4.5999999999999996</v>
      </c>
      <c r="P163" s="602">
        <f>MROUND(1/$J163*IF(K163="Petrol",Aannames!$F$65,$E$297),0.05)</f>
        <v>1.4500000000000002</v>
      </c>
      <c r="Q163" s="594">
        <f t="shared" si="236"/>
        <v>1.35</v>
      </c>
      <c r="R163" s="600">
        <f t="shared" si="237"/>
        <v>0.5</v>
      </c>
      <c r="S163" s="601">
        <f t="shared" si="238"/>
        <v>3.3000000000000003</v>
      </c>
      <c r="T163" s="598">
        <f t="shared" si="239"/>
        <v>6.45</v>
      </c>
      <c r="U163" s="599">
        <f t="shared" si="240"/>
        <v>7.9</v>
      </c>
      <c r="V163" s="597"/>
      <c r="W163" s="603">
        <f t="shared" si="241"/>
        <v>4.2775000000000007E-2</v>
      </c>
      <c r="X163" s="594">
        <f t="shared" si="242"/>
        <v>0.17</v>
      </c>
      <c r="Y163" s="600">
        <f t="shared" si="243"/>
        <v>0.30127750000000009</v>
      </c>
      <c r="Z163" s="604">
        <f t="shared" si="244"/>
        <v>0.51405250000000013</v>
      </c>
      <c r="AB163" s="78" t="str">
        <f>Aannames!$C$198</f>
        <v>265  R 16</v>
      </c>
      <c r="AC163" s="772">
        <v>5</v>
      </c>
      <c r="AD163" s="80">
        <f t="shared" si="245"/>
        <v>3.4000000000000002E-2</v>
      </c>
    </row>
    <row r="164" spans="1:30">
      <c r="A164" s="310">
        <f t="shared" si="230"/>
        <v>164</v>
      </c>
      <c r="B164" s="69"/>
      <c r="C164" s="795"/>
      <c r="D164" s="153" t="s">
        <v>1441</v>
      </c>
      <c r="E164" s="678">
        <v>409900</v>
      </c>
      <c r="F164" s="12">
        <v>160000</v>
      </c>
      <c r="G164" s="12">
        <v>20000</v>
      </c>
      <c r="H164" s="12">
        <v>50</v>
      </c>
      <c r="I164" s="576">
        <v>9.1999999999999993</v>
      </c>
      <c r="J164" s="575">
        <f t="shared" si="231"/>
        <v>10.869565217391305</v>
      </c>
      <c r="K164" s="120" t="s">
        <v>147</v>
      </c>
      <c r="L164" s="594">
        <f t="shared" si="232"/>
        <v>2.3000000000000003</v>
      </c>
      <c r="M164" s="595">
        <f t="shared" si="233"/>
        <v>0.85000000000000009</v>
      </c>
      <c r="N164" s="600">
        <f t="shared" si="234"/>
        <v>1.2000000000000002</v>
      </c>
      <c r="O164" s="601">
        <f t="shared" si="235"/>
        <v>4.3500000000000005</v>
      </c>
      <c r="P164" s="602">
        <f>MROUND(1/$J164*IF(K164="Petrol",Aannames!$F$65,$E$297),0.05)</f>
        <v>1.1500000000000001</v>
      </c>
      <c r="Q164" s="594">
        <f t="shared" si="236"/>
        <v>1.3</v>
      </c>
      <c r="R164" s="600">
        <f t="shared" si="237"/>
        <v>0.45</v>
      </c>
      <c r="S164" s="601">
        <f t="shared" si="238"/>
        <v>2.9000000000000004</v>
      </c>
      <c r="T164" s="598">
        <f t="shared" si="239"/>
        <v>6.1000000000000005</v>
      </c>
      <c r="U164" s="599">
        <f t="shared" si="240"/>
        <v>7.2500000000000009</v>
      </c>
      <c r="V164" s="597"/>
      <c r="W164" s="603">
        <f t="shared" si="241"/>
        <v>3.3349999999999998E-2</v>
      </c>
      <c r="X164" s="594">
        <f t="shared" si="242"/>
        <v>0.17</v>
      </c>
      <c r="Y164" s="600">
        <f t="shared" si="243"/>
        <v>0.26533499999999999</v>
      </c>
      <c r="Z164" s="604">
        <f t="shared" si="244"/>
        <v>0.46868500000000002</v>
      </c>
      <c r="AB164" s="78" t="str">
        <f>Aannames!$C$198</f>
        <v>265  R 16</v>
      </c>
      <c r="AC164" s="772">
        <v>5</v>
      </c>
      <c r="AD164" s="80">
        <f t="shared" si="245"/>
        <v>3.4000000000000002E-2</v>
      </c>
    </row>
    <row r="165" spans="1:30">
      <c r="A165" s="310">
        <f t="shared" si="230"/>
        <v>165</v>
      </c>
      <c r="B165" s="69"/>
      <c r="C165" s="795"/>
      <c r="D165" s="153" t="s">
        <v>1442</v>
      </c>
      <c r="E165" s="678">
        <v>445400</v>
      </c>
      <c r="F165" s="12">
        <v>160000</v>
      </c>
      <c r="G165" s="12">
        <v>20000</v>
      </c>
      <c r="H165" s="12">
        <v>50</v>
      </c>
      <c r="I165" s="576">
        <v>11.2</v>
      </c>
      <c r="J165" s="575">
        <f t="shared" si="231"/>
        <v>8.9285714285714288</v>
      </c>
      <c r="K165" s="120" t="s">
        <v>147</v>
      </c>
      <c r="L165" s="594">
        <f t="shared" si="232"/>
        <v>2.5</v>
      </c>
      <c r="M165" s="595">
        <f t="shared" si="233"/>
        <v>0.9</v>
      </c>
      <c r="N165" s="600">
        <f t="shared" si="234"/>
        <v>1.3</v>
      </c>
      <c r="O165" s="601">
        <f t="shared" si="235"/>
        <v>4.7</v>
      </c>
      <c r="P165" s="602">
        <f>MROUND(1/$J165*IF(K165="Petrol",Aannames!$F$65,$E$297),0.05)</f>
        <v>1.4000000000000001</v>
      </c>
      <c r="Q165" s="594">
        <f t="shared" si="236"/>
        <v>1.4000000000000001</v>
      </c>
      <c r="R165" s="600">
        <f t="shared" si="237"/>
        <v>0.5</v>
      </c>
      <c r="S165" s="601">
        <f t="shared" si="238"/>
        <v>3.3000000000000003</v>
      </c>
      <c r="T165" s="598">
        <f t="shared" si="239"/>
        <v>6.6</v>
      </c>
      <c r="U165" s="599">
        <f t="shared" si="240"/>
        <v>8</v>
      </c>
      <c r="V165" s="597"/>
      <c r="W165" s="603">
        <f t="shared" si="241"/>
        <v>4.0600000000000004E-2</v>
      </c>
      <c r="X165" s="594">
        <f t="shared" si="242"/>
        <v>0.17</v>
      </c>
      <c r="Y165" s="600">
        <f t="shared" si="243"/>
        <v>0.30105999999999999</v>
      </c>
      <c r="Z165" s="604">
        <f t="shared" si="244"/>
        <v>0.51166</v>
      </c>
      <c r="AB165" s="78" t="str">
        <f>Aannames!$C$198</f>
        <v>265  R 16</v>
      </c>
      <c r="AC165" s="772">
        <v>5</v>
      </c>
      <c r="AD165" s="80">
        <f t="shared" si="245"/>
        <v>3.4000000000000002E-2</v>
      </c>
    </row>
    <row r="166" spans="1:30">
      <c r="A166" s="310">
        <f t="shared" si="230"/>
        <v>166</v>
      </c>
      <c r="B166" s="69"/>
      <c r="C166" s="795"/>
      <c r="D166" s="153" t="s">
        <v>1443</v>
      </c>
      <c r="E166" s="678">
        <v>465500</v>
      </c>
      <c r="F166" s="12">
        <v>160000</v>
      </c>
      <c r="G166" s="12">
        <v>20000</v>
      </c>
      <c r="H166" s="12">
        <v>50</v>
      </c>
      <c r="I166" s="576">
        <v>10.9</v>
      </c>
      <c r="J166" s="575">
        <f t="shared" si="231"/>
        <v>9.1743119266055047</v>
      </c>
      <c r="K166" s="120" t="s">
        <v>147</v>
      </c>
      <c r="L166" s="594">
        <f t="shared" si="232"/>
        <v>2.6</v>
      </c>
      <c r="M166" s="595">
        <f t="shared" si="233"/>
        <v>0.95000000000000007</v>
      </c>
      <c r="N166" s="600">
        <f t="shared" si="234"/>
        <v>1.35</v>
      </c>
      <c r="O166" s="601">
        <f t="shared" si="235"/>
        <v>4.9000000000000004</v>
      </c>
      <c r="P166" s="602">
        <f>MROUND(1/$J166*IF(K166="Petrol",Aannames!$F$65,$E$297),0.05)</f>
        <v>1.35</v>
      </c>
      <c r="Q166" s="594">
        <f t="shared" si="236"/>
        <v>1.4500000000000002</v>
      </c>
      <c r="R166" s="600">
        <f t="shared" si="237"/>
        <v>0.5</v>
      </c>
      <c r="S166" s="601">
        <f t="shared" si="238"/>
        <v>3.3000000000000003</v>
      </c>
      <c r="T166" s="598">
        <f t="shared" si="239"/>
        <v>6.8500000000000014</v>
      </c>
      <c r="U166" s="599">
        <f t="shared" si="240"/>
        <v>8.2000000000000011</v>
      </c>
      <c r="V166" s="597"/>
      <c r="W166" s="603">
        <f t="shared" si="241"/>
        <v>3.9512499999999999E-2</v>
      </c>
      <c r="X166" s="594">
        <f t="shared" si="242"/>
        <v>0.17</v>
      </c>
      <c r="Y166" s="600">
        <f t="shared" si="243"/>
        <v>0.30095125</v>
      </c>
      <c r="Z166" s="604">
        <f t="shared" si="244"/>
        <v>0.51046374999999999</v>
      </c>
      <c r="AB166" s="78" t="str">
        <f>Aannames!$C$198</f>
        <v>265  R 16</v>
      </c>
      <c r="AC166" s="772">
        <v>5</v>
      </c>
      <c r="AD166" s="80">
        <f t="shared" si="245"/>
        <v>3.4000000000000002E-2</v>
      </c>
    </row>
    <row r="167" spans="1:30">
      <c r="A167" s="310">
        <f t="shared" si="230"/>
        <v>167</v>
      </c>
      <c r="C167" s="795"/>
      <c r="D167" s="167" t="s">
        <v>1444</v>
      </c>
      <c r="E167" s="678">
        <v>503000</v>
      </c>
      <c r="F167" s="12">
        <v>160000</v>
      </c>
      <c r="G167" s="12">
        <v>20000</v>
      </c>
      <c r="H167" s="12">
        <v>50</v>
      </c>
      <c r="I167" s="576">
        <v>11.8</v>
      </c>
      <c r="J167" s="575">
        <f t="shared" si="231"/>
        <v>8.4745762711864394</v>
      </c>
      <c r="K167" s="120" t="s">
        <v>147</v>
      </c>
      <c r="L167" s="594">
        <f t="shared" si="232"/>
        <v>2.85</v>
      </c>
      <c r="M167" s="595">
        <f t="shared" si="233"/>
        <v>1.05</v>
      </c>
      <c r="N167" s="600">
        <f t="shared" si="234"/>
        <v>1.4500000000000002</v>
      </c>
      <c r="O167" s="601">
        <f t="shared" si="235"/>
        <v>5.3500000000000005</v>
      </c>
      <c r="P167" s="602">
        <f>MROUND(1/$J167*IF(K167="Petrol",Aannames!$F$65,$E$297),0.05)</f>
        <v>1.4500000000000002</v>
      </c>
      <c r="Q167" s="594">
        <f t="shared" si="236"/>
        <v>1.55</v>
      </c>
      <c r="R167" s="600">
        <f t="shared" si="237"/>
        <v>0.55000000000000004</v>
      </c>
      <c r="S167" s="601">
        <f t="shared" si="238"/>
        <v>3.55</v>
      </c>
      <c r="T167" s="598">
        <f t="shared" si="239"/>
        <v>7.45</v>
      </c>
      <c r="U167" s="599">
        <f t="shared" si="240"/>
        <v>8.9</v>
      </c>
      <c r="V167" s="597"/>
      <c r="W167" s="603">
        <f t="shared" si="241"/>
        <v>4.2775000000000007E-2</v>
      </c>
      <c r="X167" s="594">
        <f t="shared" si="242"/>
        <v>0.17</v>
      </c>
      <c r="Y167" s="600">
        <f t="shared" si="243"/>
        <v>0.32127749999999999</v>
      </c>
      <c r="Z167" s="604">
        <f t="shared" si="244"/>
        <v>0.53405250000000004</v>
      </c>
      <c r="AB167" s="78" t="str">
        <f>Aannames!$C$198</f>
        <v>265  R 16</v>
      </c>
      <c r="AC167" s="772">
        <v>5</v>
      </c>
      <c r="AD167" s="80">
        <f t="shared" si="245"/>
        <v>3.4000000000000002E-2</v>
      </c>
    </row>
    <row r="168" spans="1:30">
      <c r="A168" s="310">
        <f t="shared" si="230"/>
        <v>168</v>
      </c>
      <c r="C168" s="795"/>
      <c r="D168" s="167" t="s">
        <v>1445</v>
      </c>
      <c r="E168" s="678">
        <v>516200</v>
      </c>
      <c r="F168" s="12">
        <v>160000</v>
      </c>
      <c r="G168" s="12">
        <v>20000</v>
      </c>
      <c r="H168" s="12">
        <v>50</v>
      </c>
      <c r="I168" s="576">
        <v>11.64</v>
      </c>
      <c r="J168" s="575">
        <f t="shared" si="231"/>
        <v>8.5910652920962196</v>
      </c>
      <c r="K168" s="120" t="s">
        <v>147</v>
      </c>
      <c r="L168" s="594">
        <f t="shared" si="232"/>
        <v>2.9000000000000004</v>
      </c>
      <c r="M168" s="595">
        <f t="shared" si="233"/>
        <v>1.05</v>
      </c>
      <c r="N168" s="600">
        <f t="shared" si="234"/>
        <v>1.5</v>
      </c>
      <c r="O168" s="601">
        <f t="shared" si="235"/>
        <v>5.45</v>
      </c>
      <c r="P168" s="602">
        <f>MROUND(1/$J168*IF(K168="Petrol",Aannames!$F$65,$E$297),0.05)</f>
        <v>1.4500000000000002</v>
      </c>
      <c r="Q168" s="594">
        <f t="shared" si="236"/>
        <v>1.6</v>
      </c>
      <c r="R168" s="600">
        <f t="shared" si="237"/>
        <v>0.55000000000000004</v>
      </c>
      <c r="S168" s="601">
        <f t="shared" si="238"/>
        <v>3.6000000000000005</v>
      </c>
      <c r="T168" s="598">
        <f t="shared" si="239"/>
        <v>7.6000000000000005</v>
      </c>
      <c r="U168" s="599">
        <f t="shared" si="240"/>
        <v>9.0500000000000007</v>
      </c>
      <c r="V168" s="597"/>
      <c r="W168" s="603">
        <f t="shared" si="241"/>
        <v>4.2195000000000003E-2</v>
      </c>
      <c r="X168" s="594">
        <f t="shared" si="242"/>
        <v>0.17</v>
      </c>
      <c r="Y168" s="600">
        <f t="shared" si="243"/>
        <v>0.3262195</v>
      </c>
      <c r="Z168" s="604">
        <f t="shared" si="244"/>
        <v>0.53841450000000002</v>
      </c>
      <c r="AB168" s="78" t="str">
        <f>Aannames!$C$198</f>
        <v>265  R 16</v>
      </c>
      <c r="AC168" s="772">
        <v>5</v>
      </c>
      <c r="AD168" s="80">
        <f t="shared" si="245"/>
        <v>3.4000000000000002E-2</v>
      </c>
    </row>
    <row r="169" spans="1:30" ht="6.75" customHeight="1">
      <c r="A169" s="310" t="str">
        <f>IF(ISNUMBER(E169),ROW(),"")</f>
        <v/>
      </c>
      <c r="C169" s="87"/>
      <c r="D169" s="88"/>
      <c r="E169" s="563"/>
      <c r="F169" s="35"/>
      <c r="G169" s="35"/>
      <c r="H169" s="35"/>
      <c r="I169" s="577"/>
      <c r="J169" s="577"/>
      <c r="K169" s="121"/>
      <c r="L169" s="605"/>
      <c r="M169" s="606"/>
      <c r="N169" s="605"/>
      <c r="O169" s="607"/>
      <c r="P169" s="845"/>
      <c r="Q169" s="605"/>
      <c r="R169" s="605"/>
      <c r="S169" s="607"/>
      <c r="T169" s="608"/>
      <c r="U169" s="609"/>
      <c r="V169" s="597"/>
      <c r="W169" s="610"/>
      <c r="X169" s="611"/>
      <c r="Y169" s="612"/>
      <c r="Z169" s="613"/>
      <c r="AC169" s="772"/>
    </row>
    <row r="170" spans="1:30">
      <c r="A170" s="310"/>
      <c r="B170" s="310"/>
      <c r="C170" s="310"/>
      <c r="D170" s="310"/>
      <c r="E170" s="564"/>
      <c r="F170" s="310"/>
      <c r="G170" s="310"/>
      <c r="H170" s="310"/>
      <c r="I170" s="564"/>
      <c r="J170" s="564"/>
      <c r="K170" s="114"/>
      <c r="L170" s="174"/>
      <c r="M170" s="174"/>
      <c r="N170" s="174"/>
      <c r="O170" s="174"/>
      <c r="P170" s="174"/>
      <c r="Q170" s="174"/>
      <c r="R170" s="174"/>
      <c r="S170" s="174"/>
      <c r="T170" s="614"/>
      <c r="U170" s="174"/>
      <c r="V170" s="174"/>
      <c r="W170" s="174"/>
      <c r="X170" s="174"/>
      <c r="Y170" s="174"/>
      <c r="Z170" s="615"/>
      <c r="AA170" s="310"/>
      <c r="AC170" s="772"/>
    </row>
    <row r="171" spans="1:30" ht="6.75" customHeight="1">
      <c r="A171" s="310" t="str">
        <f>IF(ISNUMBER(E171),ROW(),"")</f>
        <v/>
      </c>
      <c r="B171" s="69"/>
      <c r="C171" s="956"/>
      <c r="D171" s="957"/>
      <c r="E171" s="958"/>
      <c r="F171" s="959"/>
      <c r="G171" s="959"/>
      <c r="H171" s="959"/>
      <c r="I171" s="960"/>
      <c r="J171" s="960"/>
      <c r="K171" s="961"/>
      <c r="L171" s="962"/>
      <c r="M171" s="962"/>
      <c r="N171" s="962"/>
      <c r="O171" s="962"/>
      <c r="P171" s="962"/>
      <c r="Q171" s="962"/>
      <c r="R171" s="962"/>
      <c r="S171" s="962"/>
      <c r="T171" s="963"/>
      <c r="U171" s="964"/>
      <c r="V171" s="587"/>
      <c r="W171" s="965"/>
      <c r="X171" s="962"/>
      <c r="Y171" s="962"/>
      <c r="Z171" s="966"/>
      <c r="AA171" s="69"/>
      <c r="AB171" s="81"/>
      <c r="AC171" s="82"/>
      <c r="AD171" s="83"/>
    </row>
    <row r="172" spans="1:30" ht="15.75">
      <c r="A172" s="310" t="str">
        <f t="shared" si="90"/>
        <v/>
      </c>
      <c r="B172" s="69"/>
      <c r="C172" s="791" t="s">
        <v>1143</v>
      </c>
      <c r="E172" s="678"/>
      <c r="F172" s="12"/>
      <c r="G172" s="12"/>
      <c r="H172" s="12"/>
      <c r="I172" s="576"/>
      <c r="J172" s="575"/>
      <c r="K172" s="120"/>
      <c r="L172" s="594"/>
      <c r="M172" s="595"/>
      <c r="N172" s="600"/>
      <c r="O172" s="601"/>
      <c r="P172" s="602"/>
      <c r="Q172" s="594"/>
      <c r="R172" s="600"/>
      <c r="S172" s="601"/>
      <c r="T172" s="598"/>
      <c r="U172" s="599"/>
      <c r="V172" s="597"/>
      <c r="W172" s="603"/>
      <c r="X172" s="594"/>
      <c r="Y172" s="600"/>
      <c r="Z172" s="604"/>
      <c r="AC172" s="278"/>
    </row>
    <row r="173" spans="1:30">
      <c r="A173" s="310">
        <f t="shared" si="90"/>
        <v>173</v>
      </c>
      <c r="B173" s="69"/>
      <c r="C173" s="795"/>
      <c r="D173" s="153" t="s">
        <v>1446</v>
      </c>
      <c r="E173" s="678">
        <v>479900</v>
      </c>
      <c r="F173" s="12">
        <v>160000</v>
      </c>
      <c r="G173" s="12">
        <v>20000</v>
      </c>
      <c r="H173" s="12">
        <v>50</v>
      </c>
      <c r="I173" s="576">
        <v>8.5</v>
      </c>
      <c r="J173" s="575">
        <f t="shared" ref="J173:J176" si="246">100/I173</f>
        <v>11.764705882352942</v>
      </c>
      <c r="K173" s="120" t="s">
        <v>147</v>
      </c>
      <c r="L173" s="594">
        <f>MROUND($E173*(1-$E$295/100)/F173,0.05)</f>
        <v>2.7</v>
      </c>
      <c r="M173" s="595">
        <f>MROUND($E173*(1+$E$295/100)/2*$F$304/100/$G173,0.05)</f>
        <v>1</v>
      </c>
      <c r="N173" s="600">
        <f>MROUND($E173*(1+$E$295/100)/2*$E$296/100/$G173,0.05)</f>
        <v>1.4000000000000001</v>
      </c>
      <c r="O173" s="601">
        <f t="shared" ref="O173:O176" si="247">SUM(L173:N173)</f>
        <v>5.1000000000000005</v>
      </c>
      <c r="P173" s="602">
        <f>MROUND(1/$J173*IF(K173="Petrol",Aannames!$F$65,$E$297),0.05)</f>
        <v>1.05</v>
      </c>
      <c r="Q173" s="594">
        <f>MROUND($E173*$H173/100/$F173,0.05)</f>
        <v>1.5</v>
      </c>
      <c r="R173" s="600">
        <f t="shared" ref="R173:R176" si="248">MROUND(SUM(Z173),0.05)</f>
        <v>0.5</v>
      </c>
      <c r="S173" s="601">
        <f t="shared" ref="S173:S176" si="249">SUM(P173:R173)</f>
        <v>3.05</v>
      </c>
      <c r="T173" s="598">
        <f t="shared" ref="T173:T176" si="250">U173-P173</f>
        <v>7.1000000000000005</v>
      </c>
      <c r="U173" s="599">
        <f t="shared" ref="U173:U176" si="251">S173+O173</f>
        <v>8.15</v>
      </c>
      <c r="V173" s="597"/>
      <c r="W173" s="603">
        <f>1/$J173*$F$314/100*$K$300</f>
        <v>3.08125E-2</v>
      </c>
      <c r="X173" s="594">
        <f t="shared" ref="X173:X176" si="252">AC173*AD173</f>
        <v>0.17</v>
      </c>
      <c r="Y173" s="600">
        <f>SUM(P173,Q173,W173,X173)*$F$308/100</f>
        <v>0.27508125</v>
      </c>
      <c r="Z173" s="604">
        <f t="shared" ref="Z173:Z176" si="253">SUM(W173:Y173)</f>
        <v>0.47589375</v>
      </c>
      <c r="AB173" s="78" t="str">
        <f>Aannames!$C$198</f>
        <v>265  R 16</v>
      </c>
      <c r="AC173" s="278">
        <v>5</v>
      </c>
      <c r="AD173" s="80">
        <f>$I$320</f>
        <v>3.4000000000000002E-2</v>
      </c>
    </row>
    <row r="174" spans="1:30">
      <c r="A174" s="310">
        <f t="shared" si="90"/>
        <v>174</v>
      </c>
      <c r="B174" s="69"/>
      <c r="C174" s="796"/>
      <c r="D174" s="2" t="s">
        <v>1447</v>
      </c>
      <c r="E174" s="678">
        <v>499900</v>
      </c>
      <c r="F174" s="12">
        <v>160000</v>
      </c>
      <c r="G174" s="12">
        <v>20000</v>
      </c>
      <c r="H174" s="12">
        <v>50</v>
      </c>
      <c r="I174" s="576">
        <v>9.1999999999999993</v>
      </c>
      <c r="J174" s="575">
        <f t="shared" si="246"/>
        <v>10.869565217391305</v>
      </c>
      <c r="K174" s="120" t="s">
        <v>147</v>
      </c>
      <c r="L174" s="594">
        <f>MROUND($E174*(1-$E$295/100)/F174,0.05)</f>
        <v>2.8000000000000003</v>
      </c>
      <c r="M174" s="595">
        <f>MROUND($E174*(1+$E$295/100)/2*$F$304/100/$G174,0.05)</f>
        <v>1.05</v>
      </c>
      <c r="N174" s="600">
        <f>MROUND($E174*(1+$E$295/100)/2*$E$296/100/$G174,0.05)</f>
        <v>1.4500000000000002</v>
      </c>
      <c r="O174" s="601">
        <f t="shared" si="247"/>
        <v>5.3000000000000007</v>
      </c>
      <c r="P174" s="602">
        <f>MROUND(1/$J174*IF(K174="Petrol",Aannames!$F$65,$E$297),0.05)</f>
        <v>1.1500000000000001</v>
      </c>
      <c r="Q174" s="594">
        <f>MROUND($E174*$H174/100/$F174,0.05)</f>
        <v>1.55</v>
      </c>
      <c r="R174" s="600">
        <f t="shared" si="248"/>
        <v>0.5</v>
      </c>
      <c r="S174" s="601">
        <f t="shared" si="249"/>
        <v>3.2</v>
      </c>
      <c r="T174" s="598">
        <f t="shared" si="250"/>
        <v>7.35</v>
      </c>
      <c r="U174" s="599">
        <f t="shared" si="251"/>
        <v>8.5</v>
      </c>
      <c r="V174" s="597"/>
      <c r="W174" s="603">
        <f>1/$J174*$F$314/100*$K$300</f>
        <v>3.3349999999999998E-2</v>
      </c>
      <c r="X174" s="594">
        <f t="shared" si="252"/>
        <v>0.17</v>
      </c>
      <c r="Y174" s="600">
        <f>SUM(P174,Q174,W174,X174)*$F$308/100</f>
        <v>0.29033500000000001</v>
      </c>
      <c r="Z174" s="604">
        <f t="shared" si="253"/>
        <v>0.49368500000000004</v>
      </c>
      <c r="AB174" s="78" t="str">
        <f>Aannames!$C$198</f>
        <v>265  R 16</v>
      </c>
      <c r="AC174" s="772">
        <v>5</v>
      </c>
      <c r="AD174" s="80">
        <f>$I$320</f>
        <v>3.4000000000000002E-2</v>
      </c>
    </row>
    <row r="175" spans="1:30">
      <c r="A175" s="310">
        <f t="shared" si="90"/>
        <v>175</v>
      </c>
      <c r="C175" s="282"/>
      <c r="D175" s="16" t="s">
        <v>1448</v>
      </c>
      <c r="E175" s="678">
        <v>539900</v>
      </c>
      <c r="F175" s="12">
        <v>160000</v>
      </c>
      <c r="G175" s="12">
        <v>20000</v>
      </c>
      <c r="H175" s="12">
        <v>50</v>
      </c>
      <c r="I175" s="576">
        <v>8.8000000000000007</v>
      </c>
      <c r="J175" s="575">
        <f t="shared" si="246"/>
        <v>11.363636363636363</v>
      </c>
      <c r="K175" s="120" t="s">
        <v>147</v>
      </c>
      <c r="L175" s="594">
        <f>MROUND($E175*(1-$E$295/100)/F175,0.05)</f>
        <v>3.0500000000000003</v>
      </c>
      <c r="M175" s="595">
        <f>MROUND($E175*(1+$E$295/100)/2*$F$304/100/$G175,0.05)</f>
        <v>1.1000000000000001</v>
      </c>
      <c r="N175" s="600">
        <f>MROUND($E175*(1+$E$295/100)/2*$E$296/100/$G175,0.05)</f>
        <v>1.55</v>
      </c>
      <c r="O175" s="601">
        <f t="shared" si="247"/>
        <v>5.7</v>
      </c>
      <c r="P175" s="602">
        <f>MROUND(1/$J175*IF(K175="Petrol",Aannames!$F$65,$E$297),0.05)</f>
        <v>1.1000000000000001</v>
      </c>
      <c r="Q175" s="594">
        <f>MROUND($E175*$H175/100/$F175,0.05)</f>
        <v>1.7000000000000002</v>
      </c>
      <c r="R175" s="600">
        <f t="shared" si="248"/>
        <v>0.5</v>
      </c>
      <c r="S175" s="601">
        <f t="shared" si="249"/>
        <v>3.3000000000000003</v>
      </c>
      <c r="T175" s="598">
        <f t="shared" si="250"/>
        <v>7.9</v>
      </c>
      <c r="U175" s="599">
        <f t="shared" si="251"/>
        <v>9</v>
      </c>
      <c r="V175" s="597"/>
      <c r="W175" s="603">
        <f>1/$J175*$F$314/100*$K$300</f>
        <v>3.1900000000000005E-2</v>
      </c>
      <c r="X175" s="594">
        <f t="shared" si="252"/>
        <v>0.17</v>
      </c>
      <c r="Y175" s="600">
        <f>SUM(P175,Q175,W175,X175)*$F$308/100</f>
        <v>0.30018999999999996</v>
      </c>
      <c r="Z175" s="604">
        <f t="shared" si="253"/>
        <v>0.50208999999999993</v>
      </c>
      <c r="AB175" s="78" t="str">
        <f>Aannames!$C$198</f>
        <v>265  R 16</v>
      </c>
      <c r="AC175" s="772">
        <v>5</v>
      </c>
      <c r="AD175" s="80">
        <f>$I$320</f>
        <v>3.4000000000000002E-2</v>
      </c>
    </row>
    <row r="176" spans="1:30" ht="15.75">
      <c r="A176" s="310">
        <f t="shared" si="90"/>
        <v>176</v>
      </c>
      <c r="C176" s="791"/>
      <c r="D176" s="5" t="s">
        <v>1449</v>
      </c>
      <c r="E176" s="678">
        <v>559900</v>
      </c>
      <c r="F176" s="12">
        <v>160000</v>
      </c>
      <c r="G176" s="12">
        <v>20000</v>
      </c>
      <c r="H176" s="12">
        <v>50</v>
      </c>
      <c r="I176" s="576">
        <v>9.4</v>
      </c>
      <c r="J176" s="575">
        <f t="shared" si="246"/>
        <v>10.638297872340425</v>
      </c>
      <c r="K176" s="120" t="s">
        <v>147</v>
      </c>
      <c r="L176" s="594">
        <f>MROUND($E176*(1-$E$295/100)/F176,0.05)</f>
        <v>3.1500000000000004</v>
      </c>
      <c r="M176" s="595">
        <f>MROUND($E176*(1+$E$295/100)/2*$F$304/100/$G176,0.05)</f>
        <v>1.1500000000000001</v>
      </c>
      <c r="N176" s="600">
        <f>MROUND($E176*(1+$E$295/100)/2*$E$296/100/$G176,0.05)</f>
        <v>1.6</v>
      </c>
      <c r="O176" s="601">
        <f t="shared" si="247"/>
        <v>5.9</v>
      </c>
      <c r="P176" s="602">
        <f>MROUND(1/$J176*IF(K176="Petrol",Aannames!$F$65,$E$297),0.05)</f>
        <v>1.1500000000000001</v>
      </c>
      <c r="Q176" s="594">
        <f>MROUND($E176*$H176/100/$F176,0.05)</f>
        <v>1.75</v>
      </c>
      <c r="R176" s="600">
        <f t="shared" si="248"/>
        <v>0.5</v>
      </c>
      <c r="S176" s="601">
        <f t="shared" si="249"/>
        <v>3.4000000000000004</v>
      </c>
      <c r="T176" s="598">
        <f t="shared" si="250"/>
        <v>8.15</v>
      </c>
      <c r="U176" s="599">
        <f t="shared" si="251"/>
        <v>9.3000000000000007</v>
      </c>
      <c r="V176" s="597"/>
      <c r="W176" s="603">
        <f>1/$J176*$F$314/100*$K$300</f>
        <v>3.4075000000000001E-2</v>
      </c>
      <c r="X176" s="594">
        <f t="shared" si="252"/>
        <v>0.17</v>
      </c>
      <c r="Y176" s="600">
        <f>SUM(P176,Q176,W176,X176)*$F$308/100</f>
        <v>0.3104075</v>
      </c>
      <c r="Z176" s="604">
        <f t="shared" si="253"/>
        <v>0.51448249999999995</v>
      </c>
      <c r="AB176" s="78" t="str">
        <f>Aannames!$C$198</f>
        <v>265  R 16</v>
      </c>
      <c r="AC176" s="772">
        <v>5</v>
      </c>
      <c r="AD176" s="80">
        <f>$I$320</f>
        <v>3.4000000000000002E-2</v>
      </c>
    </row>
    <row r="177" spans="1:30" ht="15.75">
      <c r="A177" s="310"/>
      <c r="C177" s="791"/>
      <c r="E177" s="678"/>
      <c r="F177" s="12"/>
      <c r="G177" s="12"/>
      <c r="H177" s="12"/>
      <c r="I177" s="576"/>
      <c r="J177" s="575"/>
      <c r="K177" s="120"/>
      <c r="L177" s="594"/>
      <c r="M177" s="595"/>
      <c r="N177" s="600"/>
      <c r="O177" s="601"/>
      <c r="P177" s="602"/>
      <c r="Q177" s="594"/>
      <c r="R177" s="600"/>
      <c r="S177" s="601"/>
      <c r="T177" s="598"/>
      <c r="U177" s="599"/>
      <c r="V177" s="597"/>
      <c r="W177" s="603"/>
      <c r="X177" s="594"/>
      <c r="Y177" s="600"/>
      <c r="Z177" s="604"/>
      <c r="AC177" s="772"/>
    </row>
    <row r="178" spans="1:30" ht="15.75">
      <c r="A178" s="310" t="str">
        <f t="shared" si="90"/>
        <v/>
      </c>
      <c r="C178" s="791" t="s">
        <v>1144</v>
      </c>
      <c r="E178" s="678"/>
      <c r="F178" s="12"/>
      <c r="G178" s="12"/>
      <c r="H178" s="12"/>
      <c r="I178" s="576"/>
      <c r="J178" s="575"/>
      <c r="K178" s="120"/>
      <c r="L178" s="594"/>
      <c r="M178" s="595"/>
      <c r="N178" s="600"/>
      <c r="O178" s="601"/>
      <c r="P178" s="602"/>
      <c r="Q178" s="594"/>
      <c r="R178" s="600"/>
      <c r="S178" s="601"/>
      <c r="T178" s="598"/>
      <c r="U178" s="599"/>
      <c r="V178" s="597"/>
      <c r="W178" s="603"/>
      <c r="X178" s="594"/>
      <c r="Y178" s="600"/>
      <c r="Z178" s="604"/>
      <c r="AC178" s="772"/>
    </row>
    <row r="179" spans="1:30">
      <c r="A179" s="310">
        <f t="shared" si="90"/>
        <v>179</v>
      </c>
      <c r="C179" s="86"/>
      <c r="D179" s="16" t="s">
        <v>1145</v>
      </c>
      <c r="E179" s="678">
        <v>376900</v>
      </c>
      <c r="F179" s="12">
        <v>160000</v>
      </c>
      <c r="G179" s="12">
        <v>20000</v>
      </c>
      <c r="H179" s="12">
        <v>50</v>
      </c>
      <c r="I179" s="576">
        <v>10.4</v>
      </c>
      <c r="J179" s="575">
        <f t="shared" ref="J179:J201" si="254">100/I179</f>
        <v>9.615384615384615</v>
      </c>
      <c r="K179" s="120" t="s">
        <v>147</v>
      </c>
      <c r="L179" s="594">
        <f t="shared" ref="L179:L201" si="255">MROUND($E179*(1-$E$295/100)/F179,0.05)</f>
        <v>2.1</v>
      </c>
      <c r="M179" s="595">
        <f t="shared" ref="M179:M201" si="256">MROUND($E179*(1+$E$295/100)/2*$F$304/100/$G179,0.05)</f>
        <v>0.8</v>
      </c>
      <c r="N179" s="600">
        <f t="shared" ref="N179:N201" si="257">MROUND($E179*(1+$E$295/100)/2*$E$296/100/$G179,0.05)</f>
        <v>1.1000000000000001</v>
      </c>
      <c r="O179" s="601">
        <f t="shared" ref="O179:O201" si="258">SUM(L179:N179)</f>
        <v>4</v>
      </c>
      <c r="P179" s="602">
        <f>MROUND(1/$J179*IF(K179="Petrol",Aannames!$F$65,$E$297),0.05)</f>
        <v>1.3</v>
      </c>
      <c r="Q179" s="594">
        <f t="shared" ref="Q179:Q201" si="259">MROUND($E179*$H179/100/$F179,0.05)</f>
        <v>1.2000000000000002</v>
      </c>
      <c r="R179" s="600">
        <f t="shared" ref="R179:R201" si="260">MROUND(SUM(Z179),0.05)</f>
        <v>0.5</v>
      </c>
      <c r="S179" s="601">
        <f t="shared" ref="S179:S201" si="261">SUM(P179:R179)</f>
        <v>3</v>
      </c>
      <c r="T179" s="598">
        <f t="shared" ref="T179:T201" si="262">U179-P179</f>
        <v>5.7</v>
      </c>
      <c r="U179" s="599">
        <f t="shared" ref="U179:U201" si="263">S179+O179</f>
        <v>7</v>
      </c>
      <c r="V179" s="597"/>
      <c r="W179" s="603">
        <f t="shared" ref="W179:W201" si="264">1/$J179*$F$314/100*$K$300</f>
        <v>3.7700000000000004E-2</v>
      </c>
      <c r="X179" s="594">
        <f t="shared" ref="X179:X201" si="265">AC179*AD179</f>
        <v>0.17</v>
      </c>
      <c r="Y179" s="600">
        <f t="shared" ref="Y179:Y201" si="266">SUM(P179,Q179,W179,X179)*$F$308/100</f>
        <v>0.27076999999999996</v>
      </c>
      <c r="Z179" s="604">
        <f t="shared" ref="Z179:Z201" si="267">SUM(W179:Y179)</f>
        <v>0.47846999999999995</v>
      </c>
      <c r="AB179" s="78" t="str">
        <f>Aannames!$C$198</f>
        <v>265  R 16</v>
      </c>
      <c r="AC179" s="772">
        <v>5</v>
      </c>
      <c r="AD179" s="80">
        <f t="shared" ref="AD179:AD201" si="268">$I$320</f>
        <v>3.4000000000000002E-2</v>
      </c>
    </row>
    <row r="180" spans="1:30">
      <c r="A180" s="310">
        <f t="shared" ref="A180:A192" si="269">IF(ISNUMBER(E180),ROW(),"")</f>
        <v>180</v>
      </c>
      <c r="C180" s="86"/>
      <c r="D180" s="16" t="s">
        <v>1146</v>
      </c>
      <c r="E180" s="678">
        <v>422900</v>
      </c>
      <c r="F180" s="12">
        <v>160000</v>
      </c>
      <c r="G180" s="12">
        <v>20000</v>
      </c>
      <c r="H180" s="12">
        <v>50</v>
      </c>
      <c r="I180" s="576">
        <v>10.8</v>
      </c>
      <c r="J180" s="575">
        <f t="shared" ref="J180:J192" si="270">100/I180</f>
        <v>9.2592592592592595</v>
      </c>
      <c r="K180" s="120" t="s">
        <v>147</v>
      </c>
      <c r="L180" s="594">
        <f t="shared" si="255"/>
        <v>2.4000000000000004</v>
      </c>
      <c r="M180" s="595">
        <f t="shared" si="256"/>
        <v>0.85000000000000009</v>
      </c>
      <c r="N180" s="600">
        <f t="shared" si="257"/>
        <v>1.2000000000000002</v>
      </c>
      <c r="O180" s="601">
        <f t="shared" ref="O180:O192" si="271">SUM(L180:N180)</f>
        <v>4.4500000000000011</v>
      </c>
      <c r="P180" s="602">
        <f>MROUND(1/$J180*IF(K180="Petrol",Aannames!$F$65,$E$297),0.05)</f>
        <v>1.35</v>
      </c>
      <c r="Q180" s="594">
        <f t="shared" si="259"/>
        <v>1.3</v>
      </c>
      <c r="R180" s="600">
        <f t="shared" ref="R180:R192" si="272">MROUND(SUM(Z180),0.05)</f>
        <v>0.5</v>
      </c>
      <c r="S180" s="601">
        <f t="shared" ref="S180:S192" si="273">SUM(P180:R180)</f>
        <v>3.1500000000000004</v>
      </c>
      <c r="T180" s="598">
        <f t="shared" ref="T180:T192" si="274">U180-P180</f>
        <v>6.2500000000000018</v>
      </c>
      <c r="U180" s="599">
        <f t="shared" ref="U180:U192" si="275">S180+O180</f>
        <v>7.6000000000000014</v>
      </c>
      <c r="V180" s="597"/>
      <c r="W180" s="603">
        <f t="shared" si="264"/>
        <v>3.9149999999999997E-2</v>
      </c>
      <c r="X180" s="594">
        <f t="shared" ref="X180:X192" si="276">AC180*AD180</f>
        <v>0.17</v>
      </c>
      <c r="Y180" s="600">
        <f t="shared" si="266"/>
        <v>0.28591499999999997</v>
      </c>
      <c r="Z180" s="604">
        <f t="shared" ref="Z180:Z192" si="277">SUM(W180:Y180)</f>
        <v>0.49506499999999998</v>
      </c>
      <c r="AB180" s="78" t="str">
        <f>Aannames!$C$198</f>
        <v>265  R 16</v>
      </c>
      <c r="AC180" s="772">
        <v>5</v>
      </c>
      <c r="AD180" s="80">
        <f t="shared" si="268"/>
        <v>3.4000000000000002E-2</v>
      </c>
    </row>
    <row r="181" spans="1:30">
      <c r="A181" s="310">
        <f t="shared" si="269"/>
        <v>181</v>
      </c>
      <c r="C181" s="86"/>
      <c r="D181" s="16" t="s">
        <v>1147</v>
      </c>
      <c r="E181" s="678">
        <v>395900</v>
      </c>
      <c r="F181" s="12">
        <v>160000</v>
      </c>
      <c r="G181" s="12">
        <v>20000</v>
      </c>
      <c r="H181" s="12">
        <v>50</v>
      </c>
      <c r="I181" s="576">
        <v>10.4</v>
      </c>
      <c r="J181" s="575">
        <f t="shared" si="270"/>
        <v>9.615384615384615</v>
      </c>
      <c r="K181" s="120" t="s">
        <v>147</v>
      </c>
      <c r="L181" s="594">
        <f t="shared" si="255"/>
        <v>2.25</v>
      </c>
      <c r="M181" s="595">
        <f t="shared" si="256"/>
        <v>0.8</v>
      </c>
      <c r="N181" s="600">
        <f t="shared" si="257"/>
        <v>1.1500000000000001</v>
      </c>
      <c r="O181" s="601">
        <f t="shared" si="271"/>
        <v>4.2</v>
      </c>
      <c r="P181" s="602">
        <f>MROUND(1/$J181*IF(K181="Petrol",Aannames!$F$65,$E$297),0.05)</f>
        <v>1.3</v>
      </c>
      <c r="Q181" s="594">
        <f t="shared" si="259"/>
        <v>1.25</v>
      </c>
      <c r="R181" s="600">
        <f t="shared" si="272"/>
        <v>0.5</v>
      </c>
      <c r="S181" s="601">
        <f t="shared" si="273"/>
        <v>3.05</v>
      </c>
      <c r="T181" s="598">
        <f t="shared" si="274"/>
        <v>5.95</v>
      </c>
      <c r="U181" s="599">
        <f t="shared" si="275"/>
        <v>7.25</v>
      </c>
      <c r="V181" s="597"/>
      <c r="W181" s="603">
        <f t="shared" si="264"/>
        <v>3.7700000000000004E-2</v>
      </c>
      <c r="X181" s="594">
        <f t="shared" si="276"/>
        <v>0.17</v>
      </c>
      <c r="Y181" s="600">
        <f t="shared" si="266"/>
        <v>0.27576999999999996</v>
      </c>
      <c r="Z181" s="604">
        <f t="shared" si="277"/>
        <v>0.48346999999999996</v>
      </c>
      <c r="AB181" s="78" t="str">
        <f>Aannames!$C$198</f>
        <v>265  R 16</v>
      </c>
      <c r="AC181" s="772">
        <v>5</v>
      </c>
      <c r="AD181" s="80">
        <f t="shared" si="268"/>
        <v>3.4000000000000002E-2</v>
      </c>
    </row>
    <row r="182" spans="1:30">
      <c r="A182" s="310">
        <f t="shared" si="269"/>
        <v>182</v>
      </c>
      <c r="C182" s="86"/>
      <c r="D182" s="16" t="s">
        <v>1148</v>
      </c>
      <c r="E182" s="678">
        <v>466900</v>
      </c>
      <c r="F182" s="12">
        <v>160000</v>
      </c>
      <c r="G182" s="12">
        <v>20000</v>
      </c>
      <c r="H182" s="12">
        <v>50</v>
      </c>
      <c r="I182" s="576">
        <v>10</v>
      </c>
      <c r="J182" s="575">
        <f t="shared" si="270"/>
        <v>10</v>
      </c>
      <c r="K182" s="120" t="s">
        <v>147</v>
      </c>
      <c r="L182" s="594">
        <f t="shared" si="255"/>
        <v>2.6500000000000004</v>
      </c>
      <c r="M182" s="595">
        <f t="shared" si="256"/>
        <v>0.95000000000000007</v>
      </c>
      <c r="N182" s="600">
        <f t="shared" si="257"/>
        <v>1.35</v>
      </c>
      <c r="O182" s="601">
        <f t="shared" si="271"/>
        <v>4.9500000000000011</v>
      </c>
      <c r="P182" s="602">
        <f>MROUND(1/$J182*IF(K182="Petrol",Aannames!$F$65,$E$297),0.05)</f>
        <v>1.25</v>
      </c>
      <c r="Q182" s="594">
        <f t="shared" si="259"/>
        <v>1.4500000000000002</v>
      </c>
      <c r="R182" s="600">
        <f t="shared" si="272"/>
        <v>0.5</v>
      </c>
      <c r="S182" s="601">
        <f t="shared" si="273"/>
        <v>3.2</v>
      </c>
      <c r="T182" s="598">
        <f t="shared" si="274"/>
        <v>6.9000000000000021</v>
      </c>
      <c r="U182" s="599">
        <f t="shared" si="275"/>
        <v>8.1500000000000021</v>
      </c>
      <c r="V182" s="597"/>
      <c r="W182" s="603">
        <f t="shared" si="264"/>
        <v>3.6249999999999998E-2</v>
      </c>
      <c r="X182" s="594">
        <f t="shared" si="276"/>
        <v>0.17</v>
      </c>
      <c r="Y182" s="600">
        <f t="shared" si="266"/>
        <v>0.29062500000000002</v>
      </c>
      <c r="Z182" s="604">
        <f t="shared" si="277"/>
        <v>0.49687500000000007</v>
      </c>
      <c r="AB182" s="78" t="str">
        <f>Aannames!$C$198</f>
        <v>265  R 16</v>
      </c>
      <c r="AC182" s="772">
        <v>5</v>
      </c>
      <c r="AD182" s="80">
        <f t="shared" si="268"/>
        <v>3.4000000000000002E-2</v>
      </c>
    </row>
    <row r="183" spans="1:30">
      <c r="A183" s="310">
        <f t="shared" si="269"/>
        <v>183</v>
      </c>
      <c r="C183" s="86"/>
      <c r="D183" s="16" t="s">
        <v>1450</v>
      </c>
      <c r="E183" s="678">
        <v>159900</v>
      </c>
      <c r="F183" s="12">
        <v>160000</v>
      </c>
      <c r="G183" s="12">
        <v>20000</v>
      </c>
      <c r="H183" s="12">
        <v>50</v>
      </c>
      <c r="I183" s="576">
        <v>9.6999999999999993</v>
      </c>
      <c r="J183" s="575">
        <f t="shared" si="270"/>
        <v>10.309278350515465</v>
      </c>
      <c r="K183" s="120" t="s">
        <v>1157</v>
      </c>
      <c r="L183" s="594">
        <f t="shared" si="255"/>
        <v>0.9</v>
      </c>
      <c r="M183" s="595">
        <f t="shared" si="256"/>
        <v>0.35000000000000003</v>
      </c>
      <c r="N183" s="600">
        <f t="shared" si="257"/>
        <v>0.45</v>
      </c>
      <c r="O183" s="601">
        <f t="shared" si="271"/>
        <v>1.7</v>
      </c>
      <c r="P183" s="602">
        <f>MROUND(1/$J183*IF(K183="Petrol",Aannames!$F$65,$E$297),0.05)</f>
        <v>1.25</v>
      </c>
      <c r="Q183" s="594">
        <f t="shared" si="259"/>
        <v>0.5</v>
      </c>
      <c r="R183" s="600">
        <f t="shared" si="272"/>
        <v>0.4</v>
      </c>
      <c r="S183" s="601">
        <f t="shared" si="273"/>
        <v>2.15</v>
      </c>
      <c r="T183" s="598">
        <f t="shared" si="274"/>
        <v>2.5999999999999996</v>
      </c>
      <c r="U183" s="599">
        <f t="shared" si="275"/>
        <v>3.8499999999999996</v>
      </c>
      <c r="V183" s="597"/>
      <c r="W183" s="603">
        <f t="shared" si="264"/>
        <v>3.5162499999999999E-2</v>
      </c>
      <c r="X183" s="594">
        <f t="shared" si="276"/>
        <v>0.17</v>
      </c>
      <c r="Y183" s="600">
        <f t="shared" si="266"/>
        <v>0.19551624999999997</v>
      </c>
      <c r="Z183" s="604">
        <f t="shared" si="277"/>
        <v>0.40067874999999997</v>
      </c>
      <c r="AB183" s="78" t="str">
        <f>Aannames!$C$198</f>
        <v>265  R 16</v>
      </c>
      <c r="AC183" s="772">
        <v>5</v>
      </c>
      <c r="AD183" s="80">
        <f t="shared" si="268"/>
        <v>3.4000000000000002E-2</v>
      </c>
    </row>
    <row r="184" spans="1:30">
      <c r="A184" s="310">
        <f t="shared" si="269"/>
        <v>184</v>
      </c>
      <c r="C184" s="86"/>
      <c r="D184" s="16" t="s">
        <v>1451</v>
      </c>
      <c r="E184" s="678">
        <v>176900</v>
      </c>
      <c r="F184" s="12">
        <v>160000</v>
      </c>
      <c r="G184" s="12">
        <v>20000</v>
      </c>
      <c r="H184" s="12">
        <v>50</v>
      </c>
      <c r="I184" s="576">
        <v>9.6999999999999993</v>
      </c>
      <c r="J184" s="575">
        <f t="shared" si="270"/>
        <v>10.309278350515465</v>
      </c>
      <c r="K184" s="120" t="s">
        <v>1157</v>
      </c>
      <c r="L184" s="594">
        <f t="shared" si="255"/>
        <v>1</v>
      </c>
      <c r="M184" s="595">
        <f t="shared" si="256"/>
        <v>0.35000000000000003</v>
      </c>
      <c r="N184" s="600">
        <f t="shared" si="257"/>
        <v>0.5</v>
      </c>
      <c r="O184" s="601">
        <f t="shared" si="271"/>
        <v>1.85</v>
      </c>
      <c r="P184" s="602">
        <f>MROUND(1/$J184*IF(K184="Petrol",Aannames!$F$65,$E$297),0.05)</f>
        <v>1.25</v>
      </c>
      <c r="Q184" s="594">
        <f t="shared" si="259"/>
        <v>0.55000000000000004</v>
      </c>
      <c r="R184" s="600">
        <f t="shared" si="272"/>
        <v>0.4</v>
      </c>
      <c r="S184" s="601">
        <f t="shared" si="273"/>
        <v>2.2000000000000002</v>
      </c>
      <c r="T184" s="598">
        <f t="shared" si="274"/>
        <v>2.8000000000000007</v>
      </c>
      <c r="U184" s="599">
        <f t="shared" si="275"/>
        <v>4.0500000000000007</v>
      </c>
      <c r="V184" s="597"/>
      <c r="W184" s="603">
        <f t="shared" si="264"/>
        <v>3.5162499999999999E-2</v>
      </c>
      <c r="X184" s="594">
        <f t="shared" si="276"/>
        <v>0.17</v>
      </c>
      <c r="Y184" s="600">
        <f t="shared" si="266"/>
        <v>0.20051625000000001</v>
      </c>
      <c r="Z184" s="604">
        <f t="shared" si="277"/>
        <v>0.40567875000000003</v>
      </c>
      <c r="AB184" s="78" t="str">
        <f>Aannames!$C$198</f>
        <v>265  R 16</v>
      </c>
      <c r="AC184" s="772">
        <v>5</v>
      </c>
      <c r="AD184" s="80">
        <f t="shared" si="268"/>
        <v>3.4000000000000002E-2</v>
      </c>
    </row>
    <row r="185" spans="1:30">
      <c r="A185" s="310">
        <f t="shared" si="269"/>
        <v>185</v>
      </c>
      <c r="C185" s="86"/>
      <c r="D185" s="16" t="s">
        <v>1452</v>
      </c>
      <c r="E185" s="678">
        <v>191900</v>
      </c>
      <c r="F185" s="12">
        <v>160000</v>
      </c>
      <c r="G185" s="12">
        <v>20000</v>
      </c>
      <c r="H185" s="12">
        <v>50</v>
      </c>
      <c r="I185" s="576">
        <v>9.6999999999999993</v>
      </c>
      <c r="J185" s="575">
        <f t="shared" si="270"/>
        <v>10.309278350515465</v>
      </c>
      <c r="K185" s="120" t="s">
        <v>1157</v>
      </c>
      <c r="L185" s="594">
        <f t="shared" si="255"/>
        <v>1.1000000000000001</v>
      </c>
      <c r="M185" s="595">
        <f t="shared" si="256"/>
        <v>0.4</v>
      </c>
      <c r="N185" s="600">
        <f t="shared" si="257"/>
        <v>0.55000000000000004</v>
      </c>
      <c r="O185" s="601">
        <f t="shared" si="271"/>
        <v>2.0499999999999998</v>
      </c>
      <c r="P185" s="602">
        <f>MROUND(1/$J185*IF(K185="Petrol",Aannames!$F$65,$E$297),0.05)</f>
        <v>1.25</v>
      </c>
      <c r="Q185" s="594">
        <f t="shared" si="259"/>
        <v>0.60000000000000009</v>
      </c>
      <c r="R185" s="600">
        <f t="shared" si="272"/>
        <v>0.4</v>
      </c>
      <c r="S185" s="601">
        <f t="shared" si="273"/>
        <v>2.25</v>
      </c>
      <c r="T185" s="598">
        <f t="shared" si="274"/>
        <v>3.05</v>
      </c>
      <c r="U185" s="599">
        <f t="shared" si="275"/>
        <v>4.3</v>
      </c>
      <c r="V185" s="597"/>
      <c r="W185" s="603">
        <f t="shared" si="264"/>
        <v>3.5162499999999999E-2</v>
      </c>
      <c r="X185" s="594">
        <f t="shared" si="276"/>
        <v>0.17</v>
      </c>
      <c r="Y185" s="600">
        <f t="shared" si="266"/>
        <v>0.20551625000000001</v>
      </c>
      <c r="Z185" s="604">
        <f t="shared" si="277"/>
        <v>0.41067875000000004</v>
      </c>
      <c r="AB185" s="78" t="str">
        <f>Aannames!$C$198</f>
        <v>265  R 16</v>
      </c>
      <c r="AC185" s="772">
        <v>5</v>
      </c>
      <c r="AD185" s="80">
        <f t="shared" si="268"/>
        <v>3.4000000000000002E-2</v>
      </c>
    </row>
    <row r="186" spans="1:30">
      <c r="A186" s="310">
        <f t="shared" si="269"/>
        <v>186</v>
      </c>
      <c r="C186" s="86"/>
      <c r="D186" s="16" t="s">
        <v>1453</v>
      </c>
      <c r="E186" s="678">
        <v>192900</v>
      </c>
      <c r="F186" s="12">
        <v>160000</v>
      </c>
      <c r="G186" s="12">
        <v>20000</v>
      </c>
      <c r="H186" s="12">
        <v>50</v>
      </c>
      <c r="I186" s="576">
        <v>9.6</v>
      </c>
      <c r="J186" s="575">
        <f t="shared" si="270"/>
        <v>10.416666666666668</v>
      </c>
      <c r="K186" s="120" t="s">
        <v>1157</v>
      </c>
      <c r="L186" s="594">
        <f t="shared" si="255"/>
        <v>1.1000000000000001</v>
      </c>
      <c r="M186" s="595">
        <f t="shared" si="256"/>
        <v>0.4</v>
      </c>
      <c r="N186" s="600">
        <f t="shared" si="257"/>
        <v>0.55000000000000004</v>
      </c>
      <c r="O186" s="601">
        <f t="shared" si="271"/>
        <v>2.0499999999999998</v>
      </c>
      <c r="P186" s="602">
        <f>MROUND(1/$J186*IF(K186="Petrol",Aannames!$F$65,$E$297),0.05)</f>
        <v>1.25</v>
      </c>
      <c r="Q186" s="594">
        <f t="shared" si="259"/>
        <v>0.60000000000000009</v>
      </c>
      <c r="R186" s="600">
        <f t="shared" si="272"/>
        <v>0.4</v>
      </c>
      <c r="S186" s="601">
        <f t="shared" si="273"/>
        <v>2.25</v>
      </c>
      <c r="T186" s="598">
        <f t="shared" si="274"/>
        <v>3.05</v>
      </c>
      <c r="U186" s="599">
        <f t="shared" si="275"/>
        <v>4.3</v>
      </c>
      <c r="V186" s="597"/>
      <c r="W186" s="603">
        <f t="shared" si="264"/>
        <v>3.4799999999999998E-2</v>
      </c>
      <c r="X186" s="594">
        <f t="shared" si="276"/>
        <v>0.17</v>
      </c>
      <c r="Y186" s="600">
        <f t="shared" si="266"/>
        <v>0.20548000000000002</v>
      </c>
      <c r="Z186" s="604">
        <f t="shared" si="277"/>
        <v>0.41028000000000003</v>
      </c>
      <c r="AB186" s="78" t="str">
        <f>Aannames!$C$198</f>
        <v>265  R 16</v>
      </c>
      <c r="AC186" s="772">
        <v>5</v>
      </c>
      <c r="AD186" s="80">
        <f t="shared" si="268"/>
        <v>3.4000000000000002E-2</v>
      </c>
    </row>
    <row r="187" spans="1:30">
      <c r="A187" s="310">
        <f t="shared" si="269"/>
        <v>187</v>
      </c>
      <c r="C187" s="86"/>
      <c r="D187" s="16" t="s">
        <v>1454</v>
      </c>
      <c r="E187" s="678">
        <v>222900</v>
      </c>
      <c r="F187" s="12">
        <v>160000</v>
      </c>
      <c r="G187" s="12">
        <v>20000</v>
      </c>
      <c r="H187" s="12">
        <v>50</v>
      </c>
      <c r="I187" s="576">
        <v>8.52</v>
      </c>
      <c r="J187" s="575">
        <f t="shared" si="270"/>
        <v>11.737089201877934</v>
      </c>
      <c r="K187" s="120" t="s">
        <v>1157</v>
      </c>
      <c r="L187" s="594">
        <f t="shared" si="255"/>
        <v>1.25</v>
      </c>
      <c r="M187" s="595">
        <f t="shared" si="256"/>
        <v>0.45</v>
      </c>
      <c r="N187" s="600">
        <f t="shared" si="257"/>
        <v>0.65</v>
      </c>
      <c r="O187" s="601">
        <f t="shared" si="271"/>
        <v>2.35</v>
      </c>
      <c r="P187" s="602">
        <f>MROUND(1/$J187*IF(K187="Petrol",Aannames!$F$65,$E$297),0.05)</f>
        <v>1.1000000000000001</v>
      </c>
      <c r="Q187" s="594">
        <f t="shared" si="259"/>
        <v>0.70000000000000007</v>
      </c>
      <c r="R187" s="600">
        <f t="shared" si="272"/>
        <v>0.4</v>
      </c>
      <c r="S187" s="601">
        <f t="shared" si="273"/>
        <v>2.2000000000000002</v>
      </c>
      <c r="T187" s="598">
        <f t="shared" si="274"/>
        <v>3.4500000000000006</v>
      </c>
      <c r="U187" s="599">
        <f t="shared" si="275"/>
        <v>4.5500000000000007</v>
      </c>
      <c r="V187" s="597"/>
      <c r="W187" s="603">
        <f t="shared" si="264"/>
        <v>3.0884999999999999E-2</v>
      </c>
      <c r="X187" s="594">
        <f t="shared" si="276"/>
        <v>0.17</v>
      </c>
      <c r="Y187" s="600">
        <f t="shared" si="266"/>
        <v>0.20008850000000003</v>
      </c>
      <c r="Z187" s="604">
        <f t="shared" si="277"/>
        <v>0.40097350000000004</v>
      </c>
      <c r="AB187" s="78" t="str">
        <f>Aannames!$C$198</f>
        <v>265  R 16</v>
      </c>
      <c r="AC187" s="772">
        <v>5</v>
      </c>
      <c r="AD187" s="80">
        <f t="shared" si="268"/>
        <v>3.4000000000000002E-2</v>
      </c>
    </row>
    <row r="188" spans="1:30">
      <c r="A188" s="310">
        <f t="shared" si="269"/>
        <v>188</v>
      </c>
      <c r="C188" s="86"/>
      <c r="D188" s="16" t="s">
        <v>1455</v>
      </c>
      <c r="E188" s="678">
        <v>221900</v>
      </c>
      <c r="F188" s="12">
        <v>160000</v>
      </c>
      <c r="G188" s="12">
        <v>20000</v>
      </c>
      <c r="H188" s="12">
        <v>50</v>
      </c>
      <c r="I188" s="576">
        <v>6.4</v>
      </c>
      <c r="J188" s="575">
        <f t="shared" si="270"/>
        <v>15.625</v>
      </c>
      <c r="K188" s="120" t="s">
        <v>147</v>
      </c>
      <c r="L188" s="594">
        <f t="shared" si="255"/>
        <v>1.25</v>
      </c>
      <c r="M188" s="595">
        <f t="shared" si="256"/>
        <v>0.45</v>
      </c>
      <c r="N188" s="600">
        <f t="shared" si="257"/>
        <v>0.65</v>
      </c>
      <c r="O188" s="601">
        <f t="shared" si="271"/>
        <v>2.35</v>
      </c>
      <c r="P188" s="602">
        <f>MROUND(1/$J188*IF(K188="Petrol",Aannames!$F$65,$E$297),0.05)</f>
        <v>0.8</v>
      </c>
      <c r="Q188" s="594">
        <f t="shared" si="259"/>
        <v>0.70000000000000007</v>
      </c>
      <c r="R188" s="600">
        <f t="shared" si="272"/>
        <v>0.35000000000000003</v>
      </c>
      <c r="S188" s="601">
        <f t="shared" si="273"/>
        <v>1.85</v>
      </c>
      <c r="T188" s="598">
        <f t="shared" si="274"/>
        <v>3.4000000000000004</v>
      </c>
      <c r="U188" s="599">
        <f t="shared" si="275"/>
        <v>4.2</v>
      </c>
      <c r="V188" s="597"/>
      <c r="W188" s="603">
        <f t="shared" si="264"/>
        <v>2.3200000000000002E-2</v>
      </c>
      <c r="X188" s="594">
        <f t="shared" si="276"/>
        <v>0.17</v>
      </c>
      <c r="Y188" s="600">
        <f t="shared" si="266"/>
        <v>0.16932000000000003</v>
      </c>
      <c r="Z188" s="604">
        <f t="shared" si="277"/>
        <v>0.36252000000000006</v>
      </c>
      <c r="AB188" s="78" t="str">
        <f>Aannames!$C$198</f>
        <v>265  R 16</v>
      </c>
      <c r="AC188" s="772">
        <v>5</v>
      </c>
      <c r="AD188" s="80">
        <f t="shared" si="268"/>
        <v>3.4000000000000002E-2</v>
      </c>
    </row>
    <row r="189" spans="1:30">
      <c r="A189" s="310">
        <f t="shared" si="269"/>
        <v>189</v>
      </c>
      <c r="C189" s="86"/>
      <c r="D189" s="16" t="s">
        <v>1456</v>
      </c>
      <c r="E189" s="678">
        <v>236900</v>
      </c>
      <c r="F189" s="12">
        <v>160000</v>
      </c>
      <c r="G189" s="12">
        <v>20000</v>
      </c>
      <c r="H189" s="12">
        <v>50</v>
      </c>
      <c r="I189" s="576">
        <v>6.4</v>
      </c>
      <c r="J189" s="575">
        <f t="shared" si="270"/>
        <v>15.625</v>
      </c>
      <c r="K189" s="120" t="s">
        <v>147</v>
      </c>
      <c r="L189" s="594">
        <f t="shared" si="255"/>
        <v>1.35</v>
      </c>
      <c r="M189" s="595">
        <f t="shared" si="256"/>
        <v>0.5</v>
      </c>
      <c r="N189" s="600">
        <f t="shared" si="257"/>
        <v>0.70000000000000007</v>
      </c>
      <c r="O189" s="601">
        <f t="shared" si="271"/>
        <v>2.5500000000000003</v>
      </c>
      <c r="P189" s="602">
        <f>MROUND(1/$J189*IF(K189="Petrol",Aannames!$F$65,$E$297),0.05)</f>
        <v>0.8</v>
      </c>
      <c r="Q189" s="594">
        <f t="shared" si="259"/>
        <v>0.75</v>
      </c>
      <c r="R189" s="600">
        <f t="shared" si="272"/>
        <v>0.35000000000000003</v>
      </c>
      <c r="S189" s="601">
        <f t="shared" si="273"/>
        <v>1.9000000000000001</v>
      </c>
      <c r="T189" s="598">
        <f t="shared" si="274"/>
        <v>3.6500000000000004</v>
      </c>
      <c r="U189" s="599">
        <f t="shared" si="275"/>
        <v>4.45</v>
      </c>
      <c r="V189" s="597"/>
      <c r="W189" s="603">
        <f t="shared" si="264"/>
        <v>2.3200000000000002E-2</v>
      </c>
      <c r="X189" s="594">
        <f t="shared" si="276"/>
        <v>0.17</v>
      </c>
      <c r="Y189" s="600">
        <f t="shared" si="266"/>
        <v>0.17432000000000003</v>
      </c>
      <c r="Z189" s="604">
        <f t="shared" si="277"/>
        <v>0.36752000000000007</v>
      </c>
      <c r="AB189" s="78" t="str">
        <f>Aannames!$C$198</f>
        <v>265  R 16</v>
      </c>
      <c r="AC189" s="772">
        <v>5</v>
      </c>
      <c r="AD189" s="80">
        <f t="shared" si="268"/>
        <v>3.4000000000000002E-2</v>
      </c>
    </row>
    <row r="190" spans="1:30">
      <c r="A190" s="310">
        <f t="shared" si="269"/>
        <v>190</v>
      </c>
      <c r="C190" s="86"/>
      <c r="D190" s="16" t="s">
        <v>1457</v>
      </c>
      <c r="E190" s="678">
        <v>244900</v>
      </c>
      <c r="F190" s="12">
        <v>160000</v>
      </c>
      <c r="G190" s="12">
        <v>20000</v>
      </c>
      <c r="H190" s="12">
        <v>50</v>
      </c>
      <c r="I190" s="576">
        <v>6.4</v>
      </c>
      <c r="J190" s="575">
        <f t="shared" si="270"/>
        <v>15.625</v>
      </c>
      <c r="K190" s="120" t="s">
        <v>147</v>
      </c>
      <c r="L190" s="594">
        <f t="shared" si="255"/>
        <v>1.4000000000000001</v>
      </c>
      <c r="M190" s="595">
        <f t="shared" si="256"/>
        <v>0.5</v>
      </c>
      <c r="N190" s="600">
        <f t="shared" si="257"/>
        <v>0.70000000000000007</v>
      </c>
      <c r="O190" s="601">
        <f t="shared" si="271"/>
        <v>2.6</v>
      </c>
      <c r="P190" s="602">
        <f>MROUND(1/$J190*IF(K190="Petrol",Aannames!$F$65,$E$297),0.05)</f>
        <v>0.8</v>
      </c>
      <c r="Q190" s="594">
        <f t="shared" si="259"/>
        <v>0.75</v>
      </c>
      <c r="R190" s="600">
        <f t="shared" si="272"/>
        <v>0.35000000000000003</v>
      </c>
      <c r="S190" s="601">
        <f t="shared" si="273"/>
        <v>1.9000000000000001</v>
      </c>
      <c r="T190" s="598">
        <f t="shared" si="274"/>
        <v>3.7</v>
      </c>
      <c r="U190" s="599">
        <f t="shared" si="275"/>
        <v>4.5</v>
      </c>
      <c r="V190" s="597"/>
      <c r="W190" s="603">
        <f t="shared" si="264"/>
        <v>2.3200000000000002E-2</v>
      </c>
      <c r="X190" s="594">
        <f t="shared" si="276"/>
        <v>0.17</v>
      </c>
      <c r="Y190" s="600">
        <f t="shared" si="266"/>
        <v>0.17432000000000003</v>
      </c>
      <c r="Z190" s="604">
        <f t="shared" si="277"/>
        <v>0.36752000000000007</v>
      </c>
      <c r="AB190" s="78" t="str">
        <f>Aannames!$C$198</f>
        <v>265  R 16</v>
      </c>
      <c r="AC190" s="772">
        <v>5</v>
      </c>
      <c r="AD190" s="80">
        <f t="shared" si="268"/>
        <v>3.4000000000000002E-2</v>
      </c>
    </row>
    <row r="191" spans="1:30">
      <c r="A191" s="310">
        <f t="shared" si="269"/>
        <v>191</v>
      </c>
      <c r="C191" s="86"/>
      <c r="D191" s="16" t="s">
        <v>1149</v>
      </c>
      <c r="E191" s="678">
        <v>199900</v>
      </c>
      <c r="F191" s="12">
        <v>160000</v>
      </c>
      <c r="G191" s="12">
        <v>20000</v>
      </c>
      <c r="H191" s="12">
        <v>50</v>
      </c>
      <c r="I191" s="576">
        <v>12</v>
      </c>
      <c r="J191" s="575">
        <f t="shared" si="270"/>
        <v>8.3333333333333339</v>
      </c>
      <c r="K191" s="120" t="s">
        <v>1157</v>
      </c>
      <c r="L191" s="594">
        <f t="shared" si="255"/>
        <v>1.1000000000000001</v>
      </c>
      <c r="M191" s="595">
        <f t="shared" si="256"/>
        <v>0.4</v>
      </c>
      <c r="N191" s="600">
        <f t="shared" si="257"/>
        <v>0.60000000000000009</v>
      </c>
      <c r="O191" s="601">
        <f t="shared" si="271"/>
        <v>2.1</v>
      </c>
      <c r="P191" s="602">
        <f>MROUND(1/$J191*IF(K191="Petrol",Aannames!$F$65,$E$297),0.05)</f>
        <v>1.55</v>
      </c>
      <c r="Q191" s="594">
        <f t="shared" si="259"/>
        <v>0.60000000000000009</v>
      </c>
      <c r="R191" s="600">
        <f t="shared" si="272"/>
        <v>0.45</v>
      </c>
      <c r="S191" s="601">
        <f t="shared" si="273"/>
        <v>2.6000000000000005</v>
      </c>
      <c r="T191" s="598">
        <f t="shared" si="274"/>
        <v>3.1500000000000012</v>
      </c>
      <c r="U191" s="599">
        <f t="shared" si="275"/>
        <v>4.7000000000000011</v>
      </c>
      <c r="V191" s="597"/>
      <c r="W191" s="603">
        <f t="shared" si="264"/>
        <v>4.3499999999999997E-2</v>
      </c>
      <c r="X191" s="594">
        <f t="shared" si="276"/>
        <v>0.17</v>
      </c>
      <c r="Y191" s="600">
        <f t="shared" si="266"/>
        <v>0.23635</v>
      </c>
      <c r="Z191" s="604">
        <f t="shared" si="277"/>
        <v>0.44985000000000003</v>
      </c>
      <c r="AB191" s="78" t="str">
        <f>Aannames!$C$198</f>
        <v>265  R 16</v>
      </c>
      <c r="AC191" s="772">
        <v>5</v>
      </c>
      <c r="AD191" s="80">
        <f t="shared" si="268"/>
        <v>3.4000000000000002E-2</v>
      </c>
    </row>
    <row r="192" spans="1:30">
      <c r="A192" s="310">
        <f t="shared" si="269"/>
        <v>192</v>
      </c>
      <c r="C192" s="86"/>
      <c r="D192" s="16" t="s">
        <v>1150</v>
      </c>
      <c r="E192" s="678">
        <v>229900</v>
      </c>
      <c r="F192" s="12">
        <v>160000</v>
      </c>
      <c r="G192" s="12">
        <v>20000</v>
      </c>
      <c r="H192" s="12">
        <v>50</v>
      </c>
      <c r="I192" s="576">
        <v>9.6</v>
      </c>
      <c r="J192" s="575">
        <f t="shared" si="270"/>
        <v>10.416666666666668</v>
      </c>
      <c r="K192" s="120" t="s">
        <v>147</v>
      </c>
      <c r="L192" s="594">
        <f t="shared" si="255"/>
        <v>1.3</v>
      </c>
      <c r="M192" s="595">
        <f t="shared" si="256"/>
        <v>0.45</v>
      </c>
      <c r="N192" s="600">
        <f t="shared" si="257"/>
        <v>0.65</v>
      </c>
      <c r="O192" s="601">
        <f t="shared" si="271"/>
        <v>2.4</v>
      </c>
      <c r="P192" s="602">
        <f>MROUND(1/$J192*IF(K192="Petrol",Aannames!$F$65,$E$297),0.05)</f>
        <v>1.2000000000000002</v>
      </c>
      <c r="Q192" s="594">
        <f t="shared" si="259"/>
        <v>0.70000000000000007</v>
      </c>
      <c r="R192" s="600">
        <f t="shared" si="272"/>
        <v>0.4</v>
      </c>
      <c r="S192" s="601">
        <f t="shared" si="273"/>
        <v>2.3000000000000003</v>
      </c>
      <c r="T192" s="598">
        <f t="shared" si="274"/>
        <v>3.5</v>
      </c>
      <c r="U192" s="599">
        <f t="shared" si="275"/>
        <v>4.7</v>
      </c>
      <c r="V192" s="597"/>
      <c r="W192" s="603">
        <f t="shared" si="264"/>
        <v>3.4799999999999998E-2</v>
      </c>
      <c r="X192" s="594">
        <f t="shared" si="276"/>
        <v>0.17</v>
      </c>
      <c r="Y192" s="600">
        <f t="shared" si="266"/>
        <v>0.21048000000000006</v>
      </c>
      <c r="Z192" s="604">
        <f t="shared" si="277"/>
        <v>0.41528000000000009</v>
      </c>
      <c r="AB192" s="78" t="str">
        <f>Aannames!$C$198</f>
        <v>265  R 16</v>
      </c>
      <c r="AC192" s="772">
        <v>5</v>
      </c>
      <c r="AD192" s="80">
        <f t="shared" si="268"/>
        <v>3.4000000000000002E-2</v>
      </c>
    </row>
    <row r="193" spans="1:30">
      <c r="A193" s="310">
        <f t="shared" si="90"/>
        <v>193</v>
      </c>
      <c r="C193" s="86"/>
      <c r="D193" s="16" t="s">
        <v>1151</v>
      </c>
      <c r="E193" s="678">
        <v>314900</v>
      </c>
      <c r="F193" s="12">
        <v>160000</v>
      </c>
      <c r="G193" s="12">
        <v>20000</v>
      </c>
      <c r="H193" s="12">
        <v>50</v>
      </c>
      <c r="I193" s="576">
        <v>9.6</v>
      </c>
      <c r="J193" s="575">
        <f t="shared" si="254"/>
        <v>10.416666666666668</v>
      </c>
      <c r="K193" s="120" t="s">
        <v>147</v>
      </c>
      <c r="L193" s="594">
        <f t="shared" si="255"/>
        <v>1.75</v>
      </c>
      <c r="M193" s="595">
        <f t="shared" si="256"/>
        <v>0.65</v>
      </c>
      <c r="N193" s="600">
        <f t="shared" si="257"/>
        <v>0.9</v>
      </c>
      <c r="O193" s="601">
        <f t="shared" si="258"/>
        <v>3.3</v>
      </c>
      <c r="P193" s="602">
        <f>MROUND(1/$J193*IF(K193="Petrol",Aannames!$F$65,$E$297),0.05)</f>
        <v>1.2000000000000002</v>
      </c>
      <c r="Q193" s="594">
        <f t="shared" si="259"/>
        <v>1</v>
      </c>
      <c r="R193" s="600">
        <f t="shared" si="260"/>
        <v>0.45</v>
      </c>
      <c r="S193" s="601">
        <f t="shared" si="261"/>
        <v>2.6500000000000004</v>
      </c>
      <c r="T193" s="598">
        <f t="shared" si="262"/>
        <v>4.75</v>
      </c>
      <c r="U193" s="599">
        <f t="shared" si="263"/>
        <v>5.95</v>
      </c>
      <c r="V193" s="597"/>
      <c r="W193" s="603">
        <f t="shared" si="264"/>
        <v>3.4799999999999998E-2</v>
      </c>
      <c r="X193" s="594">
        <f t="shared" si="265"/>
        <v>0.17</v>
      </c>
      <c r="Y193" s="600">
        <f t="shared" si="266"/>
        <v>0.24048000000000003</v>
      </c>
      <c r="Z193" s="604">
        <f t="shared" si="267"/>
        <v>0.44528000000000001</v>
      </c>
      <c r="AB193" s="78" t="str">
        <f>Aannames!$C$198</f>
        <v>265  R 16</v>
      </c>
      <c r="AC193" s="772">
        <v>5</v>
      </c>
      <c r="AD193" s="80">
        <f t="shared" si="268"/>
        <v>3.4000000000000002E-2</v>
      </c>
    </row>
    <row r="194" spans="1:30">
      <c r="A194" s="310">
        <f t="shared" si="90"/>
        <v>194</v>
      </c>
      <c r="C194" s="86"/>
      <c r="D194" s="16" t="s">
        <v>1152</v>
      </c>
      <c r="E194" s="678">
        <v>306900</v>
      </c>
      <c r="F194" s="12">
        <v>160000</v>
      </c>
      <c r="G194" s="12">
        <v>20000</v>
      </c>
      <c r="H194" s="12">
        <v>50</v>
      </c>
      <c r="I194" s="576">
        <v>13.3</v>
      </c>
      <c r="J194" s="575">
        <f t="shared" si="254"/>
        <v>7.518796992481203</v>
      </c>
      <c r="K194" s="120" t="s">
        <v>1157</v>
      </c>
      <c r="L194" s="594">
        <f t="shared" si="255"/>
        <v>1.75</v>
      </c>
      <c r="M194" s="595">
        <f t="shared" si="256"/>
        <v>0.65</v>
      </c>
      <c r="N194" s="600">
        <f t="shared" si="257"/>
        <v>0.9</v>
      </c>
      <c r="O194" s="601">
        <f t="shared" si="258"/>
        <v>3.3</v>
      </c>
      <c r="P194" s="602">
        <f>MROUND(1/$J194*IF(K194="Petrol",Aannames!$F$65,$E$297),0.05)</f>
        <v>1.7000000000000002</v>
      </c>
      <c r="Q194" s="594">
        <f t="shared" si="259"/>
        <v>0.95000000000000007</v>
      </c>
      <c r="R194" s="600">
        <f t="shared" si="260"/>
        <v>0.5</v>
      </c>
      <c r="S194" s="601">
        <f t="shared" si="261"/>
        <v>3.1500000000000004</v>
      </c>
      <c r="T194" s="598">
        <f t="shared" si="262"/>
        <v>4.75</v>
      </c>
      <c r="U194" s="599">
        <f t="shared" si="263"/>
        <v>6.45</v>
      </c>
      <c r="V194" s="597"/>
      <c r="W194" s="603">
        <f t="shared" si="264"/>
        <v>4.8212499999999998E-2</v>
      </c>
      <c r="X194" s="594">
        <f t="shared" si="265"/>
        <v>0.17</v>
      </c>
      <c r="Y194" s="600">
        <f t="shared" si="266"/>
        <v>0.28682125000000003</v>
      </c>
      <c r="Z194" s="604">
        <f t="shared" si="267"/>
        <v>0.50503375000000006</v>
      </c>
      <c r="AB194" s="78" t="str">
        <f>Aannames!$C$198</f>
        <v>265  R 16</v>
      </c>
      <c r="AC194" s="772">
        <v>5</v>
      </c>
      <c r="AD194" s="80">
        <f t="shared" si="268"/>
        <v>3.4000000000000002E-2</v>
      </c>
    </row>
    <row r="195" spans="1:30">
      <c r="A195" s="310">
        <f t="shared" si="90"/>
        <v>195</v>
      </c>
      <c r="C195" s="86"/>
      <c r="D195" s="16" t="s">
        <v>1153</v>
      </c>
      <c r="E195" s="678">
        <v>336900</v>
      </c>
      <c r="F195" s="12">
        <v>160000</v>
      </c>
      <c r="G195" s="12">
        <v>20000</v>
      </c>
      <c r="H195" s="12">
        <v>50</v>
      </c>
      <c r="I195" s="576">
        <v>11.3</v>
      </c>
      <c r="J195" s="575">
        <f t="shared" si="254"/>
        <v>8.8495575221238933</v>
      </c>
      <c r="K195" s="120" t="s">
        <v>147</v>
      </c>
      <c r="L195" s="594">
        <f t="shared" si="255"/>
        <v>1.9000000000000001</v>
      </c>
      <c r="M195" s="595">
        <f t="shared" si="256"/>
        <v>0.70000000000000007</v>
      </c>
      <c r="N195" s="600">
        <f t="shared" si="257"/>
        <v>0.95000000000000007</v>
      </c>
      <c r="O195" s="601">
        <f t="shared" si="258"/>
        <v>3.5500000000000003</v>
      </c>
      <c r="P195" s="602">
        <f>MROUND(1/$J195*IF(K195="Petrol",Aannames!$F$65,$E$297),0.05)</f>
        <v>1.4000000000000001</v>
      </c>
      <c r="Q195" s="594">
        <f t="shared" si="259"/>
        <v>1.05</v>
      </c>
      <c r="R195" s="600">
        <f t="shared" si="260"/>
        <v>0.5</v>
      </c>
      <c r="S195" s="601">
        <f t="shared" si="261"/>
        <v>2.95</v>
      </c>
      <c r="T195" s="598">
        <f t="shared" si="262"/>
        <v>5.0999999999999996</v>
      </c>
      <c r="U195" s="599">
        <f t="shared" si="263"/>
        <v>6.5</v>
      </c>
      <c r="V195" s="597"/>
      <c r="W195" s="603">
        <f t="shared" si="264"/>
        <v>4.0962499999999999E-2</v>
      </c>
      <c r="X195" s="594">
        <f t="shared" si="265"/>
        <v>0.17</v>
      </c>
      <c r="Y195" s="600">
        <f t="shared" si="266"/>
        <v>0.26609625000000003</v>
      </c>
      <c r="Z195" s="604">
        <f t="shared" si="267"/>
        <v>0.47705875000000003</v>
      </c>
      <c r="AB195" s="78" t="str">
        <f>Aannames!$C$198</f>
        <v>265  R 16</v>
      </c>
      <c r="AC195" s="772">
        <v>5</v>
      </c>
      <c r="AD195" s="80">
        <f t="shared" si="268"/>
        <v>3.4000000000000002E-2</v>
      </c>
    </row>
    <row r="196" spans="1:30">
      <c r="A196" s="310">
        <f t="shared" si="90"/>
        <v>196</v>
      </c>
      <c r="C196" s="86"/>
      <c r="D196" s="16" t="s">
        <v>1154</v>
      </c>
      <c r="E196" s="678">
        <v>344900</v>
      </c>
      <c r="F196" s="12">
        <v>160000</v>
      </c>
      <c r="G196" s="12">
        <v>20000</v>
      </c>
      <c r="H196" s="12">
        <v>50</v>
      </c>
      <c r="I196" s="576">
        <v>10.6</v>
      </c>
      <c r="J196" s="575">
        <f t="shared" si="254"/>
        <v>9.433962264150944</v>
      </c>
      <c r="K196" s="120" t="s">
        <v>147</v>
      </c>
      <c r="L196" s="594">
        <f t="shared" si="255"/>
        <v>1.9500000000000002</v>
      </c>
      <c r="M196" s="595">
        <f t="shared" si="256"/>
        <v>0.70000000000000007</v>
      </c>
      <c r="N196" s="600">
        <f t="shared" si="257"/>
        <v>1</v>
      </c>
      <c r="O196" s="601">
        <f t="shared" si="258"/>
        <v>3.6500000000000004</v>
      </c>
      <c r="P196" s="602">
        <f>MROUND(1/$J196*IF(K196="Petrol",Aannames!$F$65,$E$297),0.05)</f>
        <v>1.3</v>
      </c>
      <c r="Q196" s="594">
        <f t="shared" si="259"/>
        <v>1.1000000000000001</v>
      </c>
      <c r="R196" s="600">
        <f t="shared" si="260"/>
        <v>0.45</v>
      </c>
      <c r="S196" s="601">
        <f t="shared" si="261"/>
        <v>2.8500000000000005</v>
      </c>
      <c r="T196" s="598">
        <f t="shared" si="262"/>
        <v>5.2000000000000011</v>
      </c>
      <c r="U196" s="599">
        <f t="shared" si="263"/>
        <v>6.5000000000000009</v>
      </c>
      <c r="V196" s="597"/>
      <c r="W196" s="603">
        <f t="shared" si="264"/>
        <v>3.8425000000000001E-2</v>
      </c>
      <c r="X196" s="594">
        <f t="shared" si="265"/>
        <v>0.17</v>
      </c>
      <c r="Y196" s="600">
        <f t="shared" si="266"/>
        <v>0.26084250000000003</v>
      </c>
      <c r="Z196" s="604">
        <f t="shared" si="267"/>
        <v>0.46926750000000006</v>
      </c>
      <c r="AB196" s="78" t="str">
        <f>Aannames!$C$198</f>
        <v>265  R 16</v>
      </c>
      <c r="AC196" s="772">
        <v>5</v>
      </c>
      <c r="AD196" s="80">
        <f t="shared" si="268"/>
        <v>3.4000000000000002E-2</v>
      </c>
    </row>
    <row r="197" spans="1:30">
      <c r="A197" s="310">
        <f t="shared" si="90"/>
        <v>197</v>
      </c>
      <c r="C197" s="86"/>
      <c r="D197" s="16" t="s">
        <v>1155</v>
      </c>
      <c r="E197" s="678">
        <v>324900</v>
      </c>
      <c r="F197" s="12">
        <v>160000</v>
      </c>
      <c r="G197" s="12">
        <v>20000</v>
      </c>
      <c r="H197" s="12">
        <v>50</v>
      </c>
      <c r="I197" s="576">
        <v>13.2</v>
      </c>
      <c r="J197" s="575">
        <f t="shared" si="254"/>
        <v>7.5757575757575761</v>
      </c>
      <c r="K197" s="120" t="s">
        <v>1157</v>
      </c>
      <c r="L197" s="594">
        <f t="shared" si="255"/>
        <v>1.85</v>
      </c>
      <c r="M197" s="595">
        <f t="shared" si="256"/>
        <v>0.65</v>
      </c>
      <c r="N197" s="600">
        <f t="shared" si="257"/>
        <v>0.95000000000000007</v>
      </c>
      <c r="O197" s="601">
        <f t="shared" si="258"/>
        <v>3.45</v>
      </c>
      <c r="P197" s="602">
        <f>MROUND(1/$J197*IF(K197="Petrol",Aannames!$F$65,$E$297),0.05)</f>
        <v>1.7000000000000002</v>
      </c>
      <c r="Q197" s="594">
        <f t="shared" si="259"/>
        <v>1</v>
      </c>
      <c r="R197" s="600">
        <f t="shared" si="260"/>
        <v>0.5</v>
      </c>
      <c r="S197" s="601">
        <f t="shared" si="261"/>
        <v>3.2</v>
      </c>
      <c r="T197" s="598">
        <f t="shared" si="262"/>
        <v>4.95</v>
      </c>
      <c r="U197" s="599">
        <f t="shared" si="263"/>
        <v>6.65</v>
      </c>
      <c r="V197" s="597"/>
      <c r="W197" s="603">
        <f t="shared" si="264"/>
        <v>4.7849999999999997E-2</v>
      </c>
      <c r="X197" s="594">
        <f t="shared" si="265"/>
        <v>0.17</v>
      </c>
      <c r="Y197" s="600">
        <f t="shared" si="266"/>
        <v>0.29178500000000002</v>
      </c>
      <c r="Z197" s="604">
        <f t="shared" si="267"/>
        <v>0.50963500000000006</v>
      </c>
      <c r="AB197" s="78" t="str">
        <f>Aannames!$C$198</f>
        <v>265  R 16</v>
      </c>
      <c r="AC197" s="772">
        <v>5</v>
      </c>
      <c r="AD197" s="80">
        <f t="shared" si="268"/>
        <v>3.4000000000000002E-2</v>
      </c>
    </row>
    <row r="198" spans="1:30">
      <c r="A198" s="310">
        <f t="shared" si="90"/>
        <v>198</v>
      </c>
      <c r="C198" s="86"/>
      <c r="D198" s="16" t="s">
        <v>1156</v>
      </c>
      <c r="E198" s="678">
        <v>388900</v>
      </c>
      <c r="F198" s="12">
        <v>160000</v>
      </c>
      <c r="G198" s="12">
        <v>20000</v>
      </c>
      <c r="H198" s="12">
        <v>50</v>
      </c>
      <c r="I198" s="576">
        <v>14</v>
      </c>
      <c r="J198" s="575">
        <f t="shared" si="254"/>
        <v>7.1428571428571432</v>
      </c>
      <c r="K198" s="120" t="s">
        <v>1157</v>
      </c>
      <c r="L198" s="594">
        <f t="shared" si="255"/>
        <v>2.2000000000000002</v>
      </c>
      <c r="M198" s="595">
        <f t="shared" si="256"/>
        <v>0.8</v>
      </c>
      <c r="N198" s="600">
        <f t="shared" si="257"/>
        <v>1.1000000000000001</v>
      </c>
      <c r="O198" s="601">
        <f t="shared" si="258"/>
        <v>4.0999999999999996</v>
      </c>
      <c r="P198" s="602">
        <f>MROUND(1/$J198*IF(K198="Petrol",Aannames!$F$65,$E$297),0.05)</f>
        <v>1.8</v>
      </c>
      <c r="Q198" s="594">
        <f t="shared" si="259"/>
        <v>1.2000000000000002</v>
      </c>
      <c r="R198" s="600">
        <f t="shared" si="260"/>
        <v>0.55000000000000004</v>
      </c>
      <c r="S198" s="601">
        <f t="shared" si="261"/>
        <v>3.55</v>
      </c>
      <c r="T198" s="598">
        <f t="shared" si="262"/>
        <v>5.85</v>
      </c>
      <c r="U198" s="599">
        <f t="shared" si="263"/>
        <v>7.6499999999999995</v>
      </c>
      <c r="V198" s="597"/>
      <c r="W198" s="603">
        <f t="shared" si="264"/>
        <v>5.074999999999999E-2</v>
      </c>
      <c r="X198" s="594">
        <f t="shared" si="265"/>
        <v>0.17</v>
      </c>
      <c r="Y198" s="600">
        <f t="shared" si="266"/>
        <v>0.32207499999999994</v>
      </c>
      <c r="Z198" s="604">
        <f t="shared" si="267"/>
        <v>0.54282499999999989</v>
      </c>
      <c r="AB198" s="78" t="str">
        <f>Aannames!$C$198</f>
        <v>265  R 16</v>
      </c>
      <c r="AC198" s="772">
        <v>5</v>
      </c>
      <c r="AD198" s="80">
        <f t="shared" si="268"/>
        <v>3.4000000000000002E-2</v>
      </c>
    </row>
    <row r="199" spans="1:30">
      <c r="A199" s="310">
        <f t="shared" si="90"/>
        <v>199</v>
      </c>
      <c r="C199" s="86"/>
      <c r="D199" s="16" t="s">
        <v>1458</v>
      </c>
      <c r="E199" s="678">
        <v>583900</v>
      </c>
      <c r="F199" s="12">
        <v>160000</v>
      </c>
      <c r="G199" s="12">
        <v>20000</v>
      </c>
      <c r="H199" s="12">
        <v>50</v>
      </c>
      <c r="I199" s="576">
        <v>13.1</v>
      </c>
      <c r="J199" s="575">
        <f t="shared" si="254"/>
        <v>7.6335877862595423</v>
      </c>
      <c r="K199" s="120" t="s">
        <v>147</v>
      </c>
      <c r="L199" s="594">
        <f t="shared" si="255"/>
        <v>3.3000000000000003</v>
      </c>
      <c r="M199" s="595">
        <f t="shared" si="256"/>
        <v>1.2000000000000002</v>
      </c>
      <c r="N199" s="600">
        <f t="shared" si="257"/>
        <v>1.7000000000000002</v>
      </c>
      <c r="O199" s="601">
        <f t="shared" si="258"/>
        <v>6.2</v>
      </c>
      <c r="P199" s="602">
        <f>MROUND(1/$J199*IF(K199="Petrol",Aannames!$F$65,$E$297),0.05)</f>
        <v>1.6</v>
      </c>
      <c r="Q199" s="594">
        <f t="shared" si="259"/>
        <v>1.8</v>
      </c>
      <c r="R199" s="600">
        <f t="shared" si="260"/>
        <v>0.60000000000000009</v>
      </c>
      <c r="S199" s="601">
        <f t="shared" si="261"/>
        <v>4</v>
      </c>
      <c r="T199" s="598">
        <f t="shared" si="262"/>
        <v>8.6</v>
      </c>
      <c r="U199" s="599">
        <f t="shared" si="263"/>
        <v>10.199999999999999</v>
      </c>
      <c r="V199" s="597"/>
      <c r="W199" s="603">
        <f t="shared" si="264"/>
        <v>4.7487500000000002E-2</v>
      </c>
      <c r="X199" s="594">
        <f t="shared" si="265"/>
        <v>0.17</v>
      </c>
      <c r="Y199" s="600">
        <f t="shared" si="266"/>
        <v>0.36174875000000001</v>
      </c>
      <c r="Z199" s="604">
        <f t="shared" si="267"/>
        <v>0.57923625000000001</v>
      </c>
      <c r="AB199" s="78" t="str">
        <f>Aannames!$C$198</f>
        <v>265  R 16</v>
      </c>
      <c r="AC199" s="772">
        <v>5</v>
      </c>
      <c r="AD199" s="80">
        <f t="shared" si="268"/>
        <v>3.4000000000000002E-2</v>
      </c>
    </row>
    <row r="200" spans="1:30">
      <c r="A200" s="310">
        <f t="shared" si="90"/>
        <v>200</v>
      </c>
      <c r="C200" s="86"/>
      <c r="D200" s="16" t="s">
        <v>1459</v>
      </c>
      <c r="E200" s="678">
        <v>699900</v>
      </c>
      <c r="F200" s="12">
        <v>160000</v>
      </c>
      <c r="G200" s="12">
        <v>20000</v>
      </c>
      <c r="H200" s="12">
        <v>50</v>
      </c>
      <c r="I200" s="576">
        <v>13</v>
      </c>
      <c r="J200" s="575">
        <f t="shared" si="254"/>
        <v>7.6923076923076925</v>
      </c>
      <c r="K200" s="120" t="s">
        <v>147</v>
      </c>
      <c r="L200" s="594">
        <f t="shared" si="255"/>
        <v>3.95</v>
      </c>
      <c r="M200" s="595">
        <f t="shared" si="256"/>
        <v>1.4500000000000002</v>
      </c>
      <c r="N200" s="600">
        <f t="shared" si="257"/>
        <v>2</v>
      </c>
      <c r="O200" s="601">
        <f t="shared" si="258"/>
        <v>7.4</v>
      </c>
      <c r="P200" s="602">
        <f>MROUND(1/$J200*IF(K200="Petrol",Aannames!$F$65,$E$297),0.05)</f>
        <v>1.6</v>
      </c>
      <c r="Q200" s="594">
        <f t="shared" si="259"/>
        <v>2.2000000000000002</v>
      </c>
      <c r="R200" s="600">
        <f t="shared" si="260"/>
        <v>0.60000000000000009</v>
      </c>
      <c r="S200" s="601">
        <f t="shared" si="261"/>
        <v>4.4000000000000004</v>
      </c>
      <c r="T200" s="598">
        <f t="shared" si="262"/>
        <v>10.200000000000001</v>
      </c>
      <c r="U200" s="599">
        <f t="shared" si="263"/>
        <v>11.8</v>
      </c>
      <c r="V200" s="597"/>
      <c r="W200" s="603">
        <f t="shared" si="264"/>
        <v>4.7125E-2</v>
      </c>
      <c r="X200" s="594">
        <f t="shared" si="265"/>
        <v>0.17</v>
      </c>
      <c r="Y200" s="600">
        <f t="shared" si="266"/>
        <v>0.40171250000000003</v>
      </c>
      <c r="Z200" s="604">
        <f t="shared" si="267"/>
        <v>0.61883750000000004</v>
      </c>
      <c r="AB200" s="78" t="str">
        <f>Aannames!$C$198</f>
        <v>265  R 16</v>
      </c>
      <c r="AC200" s="772">
        <v>5</v>
      </c>
      <c r="AD200" s="80">
        <f t="shared" si="268"/>
        <v>3.4000000000000002E-2</v>
      </c>
    </row>
    <row r="201" spans="1:30">
      <c r="A201" s="310">
        <f t="shared" si="90"/>
        <v>201</v>
      </c>
      <c r="C201" s="86"/>
      <c r="D201" s="16" t="s">
        <v>1460</v>
      </c>
      <c r="E201" s="678">
        <v>809900</v>
      </c>
      <c r="F201" s="12">
        <v>160000</v>
      </c>
      <c r="G201" s="12">
        <v>20000</v>
      </c>
      <c r="H201" s="12">
        <v>50</v>
      </c>
      <c r="I201" s="576">
        <v>21.2</v>
      </c>
      <c r="J201" s="575">
        <f t="shared" si="254"/>
        <v>4.716981132075472</v>
      </c>
      <c r="K201" s="120" t="s">
        <v>1157</v>
      </c>
      <c r="L201" s="594">
        <f t="shared" si="255"/>
        <v>4.55</v>
      </c>
      <c r="M201" s="595">
        <f t="shared" si="256"/>
        <v>1.6500000000000001</v>
      </c>
      <c r="N201" s="600">
        <f t="shared" si="257"/>
        <v>2.35</v>
      </c>
      <c r="O201" s="601">
        <f t="shared" si="258"/>
        <v>8.5500000000000007</v>
      </c>
      <c r="P201" s="602">
        <f>MROUND(1/$J201*IF(K201="Petrol",Aannames!$F$65,$E$297),0.05)</f>
        <v>2.75</v>
      </c>
      <c r="Q201" s="594">
        <f t="shared" si="259"/>
        <v>2.5500000000000003</v>
      </c>
      <c r="R201" s="600">
        <f t="shared" si="260"/>
        <v>0.8</v>
      </c>
      <c r="S201" s="601">
        <f t="shared" si="261"/>
        <v>6.1000000000000005</v>
      </c>
      <c r="T201" s="598">
        <f t="shared" si="262"/>
        <v>11.900000000000002</v>
      </c>
      <c r="U201" s="599">
        <f t="shared" si="263"/>
        <v>14.650000000000002</v>
      </c>
      <c r="V201" s="597"/>
      <c r="W201" s="603">
        <f t="shared" si="264"/>
        <v>7.6850000000000002E-2</v>
      </c>
      <c r="X201" s="594">
        <f t="shared" si="265"/>
        <v>0.17</v>
      </c>
      <c r="Y201" s="600">
        <f t="shared" si="266"/>
        <v>0.55468500000000009</v>
      </c>
      <c r="Z201" s="604">
        <f t="shared" si="267"/>
        <v>0.80153500000000011</v>
      </c>
      <c r="AB201" s="78" t="str">
        <f>Aannames!$C$198</f>
        <v>265  R 16</v>
      </c>
      <c r="AC201" s="772">
        <v>5</v>
      </c>
      <c r="AD201" s="80">
        <f t="shared" si="268"/>
        <v>3.4000000000000002E-2</v>
      </c>
    </row>
    <row r="202" spans="1:30" ht="6.75" customHeight="1">
      <c r="A202" s="310" t="str">
        <f>IF(ISNUMBER(E202),ROW(),"")</f>
        <v/>
      </c>
      <c r="C202" s="87"/>
      <c r="D202" s="88"/>
      <c r="E202" s="563"/>
      <c r="F202" s="35"/>
      <c r="G202" s="35"/>
      <c r="H202" s="35"/>
      <c r="I202" s="577"/>
      <c r="J202" s="577"/>
      <c r="K202" s="121"/>
      <c r="L202" s="605"/>
      <c r="M202" s="606"/>
      <c r="N202" s="605"/>
      <c r="O202" s="607"/>
      <c r="P202" s="845"/>
      <c r="Q202" s="605"/>
      <c r="R202" s="605"/>
      <c r="S202" s="607"/>
      <c r="T202" s="608"/>
      <c r="U202" s="609"/>
      <c r="V202" s="597"/>
      <c r="W202" s="610"/>
      <c r="X202" s="611"/>
      <c r="Y202" s="612"/>
      <c r="Z202" s="613"/>
      <c r="AC202" s="772"/>
    </row>
    <row r="203" spans="1:30">
      <c r="A203" s="310"/>
      <c r="B203" s="310"/>
      <c r="C203" s="310"/>
      <c r="D203" s="310"/>
      <c r="E203" s="564"/>
      <c r="F203" s="310"/>
      <c r="G203" s="310"/>
      <c r="H203" s="310"/>
      <c r="I203" s="564"/>
      <c r="J203" s="564"/>
      <c r="K203" s="114"/>
      <c r="L203" s="174"/>
      <c r="M203" s="174"/>
      <c r="N203" s="174"/>
      <c r="O203" s="174"/>
      <c r="P203" s="174"/>
      <c r="Q203" s="174"/>
      <c r="R203" s="174"/>
      <c r="S203" s="174"/>
      <c r="T203" s="614"/>
      <c r="U203" s="174"/>
      <c r="V203" s="174"/>
      <c r="W203" s="174"/>
      <c r="X203" s="174"/>
      <c r="Y203" s="174"/>
      <c r="Z203" s="615"/>
      <c r="AA203" s="310"/>
      <c r="AC203" s="772"/>
    </row>
    <row r="204" spans="1:30" ht="6.75" customHeight="1">
      <c r="A204" s="310" t="str">
        <f>IF(ISNUMBER(E204),ROW(),"")</f>
        <v/>
      </c>
      <c r="B204" s="69"/>
      <c r="C204" s="956"/>
      <c r="D204" s="957"/>
      <c r="E204" s="958"/>
      <c r="F204" s="959"/>
      <c r="G204" s="959"/>
      <c r="H204" s="959"/>
      <c r="I204" s="960"/>
      <c r="J204" s="960"/>
      <c r="K204" s="961"/>
      <c r="L204" s="962"/>
      <c r="M204" s="962"/>
      <c r="N204" s="962"/>
      <c r="O204" s="962"/>
      <c r="P204" s="962"/>
      <c r="Q204" s="962"/>
      <c r="R204" s="962"/>
      <c r="S204" s="962"/>
      <c r="T204" s="963"/>
      <c r="U204" s="964"/>
      <c r="V204" s="587"/>
      <c r="W204" s="965"/>
      <c r="X204" s="962"/>
      <c r="Y204" s="962"/>
      <c r="Z204" s="966"/>
      <c r="AA204" s="69"/>
      <c r="AB204" s="81"/>
      <c r="AC204" s="82"/>
      <c r="AD204" s="83"/>
    </row>
    <row r="205" spans="1:30" ht="15.75">
      <c r="A205" s="310" t="str">
        <f t="shared" si="90"/>
        <v/>
      </c>
      <c r="C205" s="791" t="s">
        <v>1158</v>
      </c>
      <c r="D205" s="69"/>
      <c r="E205" s="678"/>
      <c r="F205" s="12"/>
      <c r="G205" s="12"/>
      <c r="H205" s="12"/>
      <c r="I205" s="576"/>
      <c r="J205" s="575"/>
      <c r="K205" s="120"/>
      <c r="L205" s="594"/>
      <c r="M205" s="595"/>
      <c r="N205" s="600"/>
      <c r="O205" s="601"/>
      <c r="P205" s="602"/>
      <c r="Q205" s="594"/>
      <c r="R205" s="600"/>
      <c r="S205" s="601"/>
      <c r="T205" s="598"/>
      <c r="U205" s="599"/>
      <c r="V205" s="597"/>
      <c r="W205" s="603"/>
      <c r="X205" s="594"/>
      <c r="Y205" s="600"/>
      <c r="Z205" s="604"/>
      <c r="AC205" s="772"/>
    </row>
    <row r="206" spans="1:30">
      <c r="A206" s="310">
        <f t="shared" ref="A206:A225" si="278">IF(ISNUMBER(E206),ROW(),"")</f>
        <v>206</v>
      </c>
      <c r="C206" s="86"/>
      <c r="D206" s="16" t="s">
        <v>1469</v>
      </c>
      <c r="E206" s="678">
        <v>239600</v>
      </c>
      <c r="F206" s="12">
        <v>160000</v>
      </c>
      <c r="G206" s="12">
        <v>20000</v>
      </c>
      <c r="H206" s="12">
        <v>50</v>
      </c>
      <c r="I206" s="576">
        <v>7</v>
      </c>
      <c r="J206" s="575">
        <f t="shared" ref="J206:J225" si="279">100/I206</f>
        <v>14.285714285714286</v>
      </c>
      <c r="K206" s="120" t="s">
        <v>1157</v>
      </c>
      <c r="L206" s="594">
        <f t="shared" ref="L206:L233" si="280">MROUND($E206*(1-$E$295/100)/F206,0.05)</f>
        <v>1.35</v>
      </c>
      <c r="M206" s="595">
        <f t="shared" ref="M206:M233" si="281">MROUND($E206*(1+$E$295/100)/2*$F$304/100/$G206,0.05)</f>
        <v>0.5</v>
      </c>
      <c r="N206" s="600">
        <f t="shared" ref="N206:N233" si="282">MROUND($E206*(1+$E$295/100)/2*$E$296/100/$G206,0.05)</f>
        <v>0.70000000000000007</v>
      </c>
      <c r="O206" s="601">
        <f t="shared" ref="O206:O225" si="283">SUM(L206:N206)</f>
        <v>2.5500000000000003</v>
      </c>
      <c r="P206" s="602">
        <f>MROUND(1/$J206*IF(K206="Petrol",Aannames!$F$65,$E$297),0.05)</f>
        <v>0.9</v>
      </c>
      <c r="Q206" s="594">
        <f t="shared" ref="Q206:Q233" si="284">MROUND($E206*$H206/100/$F206,0.05)</f>
        <v>0.75</v>
      </c>
      <c r="R206" s="600">
        <f t="shared" ref="R206:R225" si="285">MROUND(SUM(Z206),0.05)</f>
        <v>0.4</v>
      </c>
      <c r="S206" s="601">
        <f t="shared" ref="S206:S225" si="286">SUM(P206:R206)</f>
        <v>2.0499999999999998</v>
      </c>
      <c r="T206" s="598">
        <f t="shared" ref="T206:T225" si="287">U206-P206</f>
        <v>3.6999999999999997</v>
      </c>
      <c r="U206" s="599">
        <f t="shared" ref="U206:U225" si="288">S206+O206</f>
        <v>4.5999999999999996</v>
      </c>
      <c r="V206" s="597"/>
      <c r="W206" s="603">
        <f t="shared" ref="W206:W233" si="289">1/$J206*$F$314/100*$K$300</f>
        <v>2.5374999999999995E-2</v>
      </c>
      <c r="X206" s="594">
        <f t="shared" ref="X206:X225" si="290">AC206*AD206</f>
        <v>0.17</v>
      </c>
      <c r="Y206" s="600">
        <f t="shared" ref="Y206:Y233" si="291">SUM(P206,Q206,W206,X206)*$F$308/100</f>
        <v>0.18453749999999999</v>
      </c>
      <c r="Z206" s="604">
        <f t="shared" ref="Z206:Z225" si="292">SUM(W206:Y206)</f>
        <v>0.37991249999999999</v>
      </c>
      <c r="AB206" s="78" t="str">
        <f>Aannames!$C$198</f>
        <v>265  R 16</v>
      </c>
      <c r="AC206" s="772">
        <v>5</v>
      </c>
      <c r="AD206" s="80">
        <f t="shared" ref="AD206:AD233" si="293">$I$320</f>
        <v>3.4000000000000002E-2</v>
      </c>
    </row>
    <row r="207" spans="1:30">
      <c r="A207" s="310">
        <f t="shared" si="278"/>
        <v>207</v>
      </c>
      <c r="C207" s="86"/>
      <c r="D207" s="16" t="s">
        <v>1470</v>
      </c>
      <c r="E207" s="678">
        <v>272100</v>
      </c>
      <c r="F207" s="12">
        <v>160000</v>
      </c>
      <c r="G207" s="12">
        <v>20000</v>
      </c>
      <c r="H207" s="12">
        <v>50</v>
      </c>
      <c r="I207" s="576">
        <v>7.1</v>
      </c>
      <c r="J207" s="575">
        <f t="shared" si="279"/>
        <v>14.084507042253522</v>
      </c>
      <c r="K207" s="120" t="s">
        <v>147</v>
      </c>
      <c r="L207" s="594">
        <f t="shared" si="280"/>
        <v>1.55</v>
      </c>
      <c r="M207" s="595">
        <f t="shared" si="281"/>
        <v>0.55000000000000004</v>
      </c>
      <c r="N207" s="600">
        <f t="shared" si="282"/>
        <v>0.8</v>
      </c>
      <c r="O207" s="601">
        <f t="shared" si="283"/>
        <v>2.9000000000000004</v>
      </c>
      <c r="P207" s="602">
        <f>MROUND(1/$J207*IF(K207="Petrol",Aannames!$F$65,$E$297),0.05)</f>
        <v>0.85000000000000009</v>
      </c>
      <c r="Q207" s="594">
        <f t="shared" si="284"/>
        <v>0.85000000000000009</v>
      </c>
      <c r="R207" s="600">
        <f t="shared" si="285"/>
        <v>0.4</v>
      </c>
      <c r="S207" s="601">
        <f t="shared" si="286"/>
        <v>2.1</v>
      </c>
      <c r="T207" s="598">
        <f t="shared" si="287"/>
        <v>4.1500000000000004</v>
      </c>
      <c r="U207" s="599">
        <f t="shared" si="288"/>
        <v>5</v>
      </c>
      <c r="V207" s="597"/>
      <c r="W207" s="603">
        <f t="shared" si="289"/>
        <v>2.5737499999999996E-2</v>
      </c>
      <c r="X207" s="594">
        <f t="shared" si="290"/>
        <v>0.17</v>
      </c>
      <c r="Y207" s="600">
        <f t="shared" si="291"/>
        <v>0.18957374999999999</v>
      </c>
      <c r="Z207" s="604">
        <f t="shared" si="292"/>
        <v>0.38531124999999999</v>
      </c>
      <c r="AB207" s="78" t="str">
        <f>Aannames!$C$198</f>
        <v>265  R 16</v>
      </c>
      <c r="AC207" s="772">
        <v>5</v>
      </c>
      <c r="AD207" s="80">
        <f t="shared" si="293"/>
        <v>3.4000000000000002E-2</v>
      </c>
    </row>
    <row r="208" spans="1:30">
      <c r="A208" s="310">
        <f t="shared" si="278"/>
        <v>208</v>
      </c>
      <c r="C208" s="86"/>
      <c r="D208" s="16" t="s">
        <v>1471</v>
      </c>
      <c r="E208" s="678">
        <v>332700</v>
      </c>
      <c r="F208" s="12">
        <v>160000</v>
      </c>
      <c r="G208" s="12">
        <v>20000</v>
      </c>
      <c r="H208" s="12">
        <v>50</v>
      </c>
      <c r="I208" s="576">
        <v>10.6</v>
      </c>
      <c r="J208" s="575">
        <f t="shared" si="279"/>
        <v>9.433962264150944</v>
      </c>
      <c r="K208" s="120" t="s">
        <v>1157</v>
      </c>
      <c r="L208" s="594">
        <f t="shared" si="280"/>
        <v>1.85</v>
      </c>
      <c r="M208" s="595">
        <f t="shared" si="281"/>
        <v>0.70000000000000007</v>
      </c>
      <c r="N208" s="600">
        <f t="shared" si="282"/>
        <v>0.95000000000000007</v>
      </c>
      <c r="O208" s="601">
        <f t="shared" si="283"/>
        <v>3.5000000000000004</v>
      </c>
      <c r="P208" s="602">
        <f>MROUND(1/$J208*IF(K208="Petrol",Aannames!$F$65,$E$297),0.05)</f>
        <v>1.35</v>
      </c>
      <c r="Q208" s="594">
        <f t="shared" si="284"/>
        <v>1.05</v>
      </c>
      <c r="R208" s="600">
        <f t="shared" si="285"/>
        <v>0.45</v>
      </c>
      <c r="S208" s="601">
        <f t="shared" si="286"/>
        <v>2.8500000000000005</v>
      </c>
      <c r="T208" s="598">
        <f t="shared" si="287"/>
        <v>5.0000000000000018</v>
      </c>
      <c r="U208" s="599">
        <f t="shared" si="288"/>
        <v>6.3500000000000014</v>
      </c>
      <c r="V208" s="597"/>
      <c r="W208" s="603">
        <f t="shared" si="289"/>
        <v>3.8425000000000001E-2</v>
      </c>
      <c r="X208" s="594">
        <f t="shared" si="290"/>
        <v>0.17</v>
      </c>
      <c r="Y208" s="600">
        <f t="shared" si="291"/>
        <v>0.26084250000000003</v>
      </c>
      <c r="Z208" s="604">
        <f t="shared" si="292"/>
        <v>0.46926750000000006</v>
      </c>
      <c r="AB208" s="78" t="str">
        <f>Aannames!$C$198</f>
        <v>265  R 16</v>
      </c>
      <c r="AC208" s="772">
        <v>5</v>
      </c>
      <c r="AD208" s="80">
        <f t="shared" si="293"/>
        <v>3.4000000000000002E-2</v>
      </c>
    </row>
    <row r="209" spans="1:30">
      <c r="A209" s="310">
        <f t="shared" si="278"/>
        <v>209</v>
      </c>
      <c r="C209" s="86"/>
      <c r="D209" s="167" t="s">
        <v>1509</v>
      </c>
      <c r="E209" s="678">
        <v>343200</v>
      </c>
      <c r="F209" s="12">
        <v>160000</v>
      </c>
      <c r="G209" s="12">
        <v>20000</v>
      </c>
      <c r="H209" s="12">
        <v>50</v>
      </c>
      <c r="I209" s="576">
        <v>7.1</v>
      </c>
      <c r="J209" s="575">
        <f t="shared" si="279"/>
        <v>14.084507042253522</v>
      </c>
      <c r="K209" s="120" t="s">
        <v>147</v>
      </c>
      <c r="L209" s="594">
        <f t="shared" si="280"/>
        <v>1.9500000000000002</v>
      </c>
      <c r="M209" s="595">
        <f t="shared" si="281"/>
        <v>0.70000000000000007</v>
      </c>
      <c r="N209" s="600">
        <f t="shared" si="282"/>
        <v>1</v>
      </c>
      <c r="O209" s="601">
        <f t="shared" si="283"/>
        <v>3.6500000000000004</v>
      </c>
      <c r="P209" s="602">
        <f>MROUND(1/$J209*IF(K209="Petrol",Aannames!$F$65,$E$297),0.05)</f>
        <v>0.85000000000000009</v>
      </c>
      <c r="Q209" s="594">
        <f t="shared" si="284"/>
        <v>1.05</v>
      </c>
      <c r="R209" s="600">
        <f t="shared" si="285"/>
        <v>0.4</v>
      </c>
      <c r="S209" s="601">
        <f t="shared" si="286"/>
        <v>2.3000000000000003</v>
      </c>
      <c r="T209" s="598">
        <f t="shared" si="287"/>
        <v>5.1000000000000014</v>
      </c>
      <c r="U209" s="599">
        <f t="shared" si="288"/>
        <v>5.9500000000000011</v>
      </c>
      <c r="V209" s="597"/>
      <c r="W209" s="603">
        <f t="shared" si="289"/>
        <v>2.5737499999999996E-2</v>
      </c>
      <c r="X209" s="594">
        <f t="shared" si="290"/>
        <v>0.17</v>
      </c>
      <c r="Y209" s="600">
        <f t="shared" si="291"/>
        <v>0.20957375000000003</v>
      </c>
      <c r="Z209" s="604">
        <f t="shared" si="292"/>
        <v>0.40531125000000001</v>
      </c>
      <c r="AB209" s="78" t="str">
        <f>Aannames!$C$198</f>
        <v>265  R 16</v>
      </c>
      <c r="AC209" s="772">
        <v>5</v>
      </c>
      <c r="AD209" s="80">
        <f t="shared" si="293"/>
        <v>3.4000000000000002E-2</v>
      </c>
    </row>
    <row r="210" spans="1:30">
      <c r="A210" s="310">
        <f t="shared" si="278"/>
        <v>210</v>
      </c>
      <c r="C210" s="86"/>
      <c r="D210" s="16" t="s">
        <v>1472</v>
      </c>
      <c r="E210" s="678">
        <v>406100</v>
      </c>
      <c r="F210" s="12">
        <v>160000</v>
      </c>
      <c r="G210" s="12">
        <v>20000</v>
      </c>
      <c r="H210" s="12">
        <v>50</v>
      </c>
      <c r="I210" s="576">
        <v>7.3</v>
      </c>
      <c r="J210" s="575">
        <f t="shared" si="279"/>
        <v>13.698630136986301</v>
      </c>
      <c r="K210" s="120" t="s">
        <v>147</v>
      </c>
      <c r="L210" s="594">
        <f t="shared" si="280"/>
        <v>2.3000000000000003</v>
      </c>
      <c r="M210" s="595">
        <f t="shared" si="281"/>
        <v>0.85000000000000009</v>
      </c>
      <c r="N210" s="600">
        <f t="shared" si="282"/>
        <v>1.1500000000000001</v>
      </c>
      <c r="O210" s="601">
        <f t="shared" si="283"/>
        <v>4.3000000000000007</v>
      </c>
      <c r="P210" s="602">
        <f>MROUND(1/$J210*IF(K210="Petrol",Aannames!$F$65,$E$297),0.05)</f>
        <v>0.9</v>
      </c>
      <c r="Q210" s="594">
        <f t="shared" si="284"/>
        <v>1.25</v>
      </c>
      <c r="R210" s="600">
        <f t="shared" si="285"/>
        <v>0.45</v>
      </c>
      <c r="S210" s="601">
        <f t="shared" si="286"/>
        <v>2.6</v>
      </c>
      <c r="T210" s="598">
        <f t="shared" si="287"/>
        <v>6</v>
      </c>
      <c r="U210" s="599">
        <f t="shared" si="288"/>
        <v>6.9</v>
      </c>
      <c r="V210" s="597"/>
      <c r="W210" s="603">
        <f t="shared" si="289"/>
        <v>2.64625E-2</v>
      </c>
      <c r="X210" s="594">
        <f t="shared" si="290"/>
        <v>0.17</v>
      </c>
      <c r="Y210" s="600">
        <f t="shared" si="291"/>
        <v>0.23464624999999997</v>
      </c>
      <c r="Z210" s="604">
        <f t="shared" si="292"/>
        <v>0.43110874999999999</v>
      </c>
      <c r="AB210" s="78" t="str">
        <f>Aannames!$C$198</f>
        <v>265  R 16</v>
      </c>
      <c r="AC210" s="772">
        <v>5</v>
      </c>
      <c r="AD210" s="80">
        <f t="shared" si="293"/>
        <v>3.4000000000000002E-2</v>
      </c>
    </row>
    <row r="211" spans="1:30">
      <c r="A211" s="310">
        <f t="shared" si="278"/>
        <v>211</v>
      </c>
      <c r="C211" s="86"/>
      <c r="D211" s="16" t="s">
        <v>1473</v>
      </c>
      <c r="E211" s="678">
        <v>400700</v>
      </c>
      <c r="F211" s="12">
        <v>160000</v>
      </c>
      <c r="G211" s="12">
        <v>20000</v>
      </c>
      <c r="H211" s="12">
        <v>50</v>
      </c>
      <c r="I211" s="576">
        <v>7.3</v>
      </c>
      <c r="J211" s="575">
        <f t="shared" si="279"/>
        <v>13.698630136986301</v>
      </c>
      <c r="K211" s="120" t="s">
        <v>147</v>
      </c>
      <c r="L211" s="594">
        <f t="shared" si="280"/>
        <v>2.25</v>
      </c>
      <c r="M211" s="595">
        <f t="shared" si="281"/>
        <v>0.85000000000000009</v>
      </c>
      <c r="N211" s="600">
        <f t="shared" si="282"/>
        <v>1.1500000000000001</v>
      </c>
      <c r="O211" s="601">
        <f t="shared" si="283"/>
        <v>4.25</v>
      </c>
      <c r="P211" s="602">
        <f>MROUND(1/$J211*IF(K211="Petrol",Aannames!$F$65,$E$297),0.05)</f>
        <v>0.9</v>
      </c>
      <c r="Q211" s="594">
        <f t="shared" si="284"/>
        <v>1.25</v>
      </c>
      <c r="R211" s="600">
        <f t="shared" si="285"/>
        <v>0.45</v>
      </c>
      <c r="S211" s="601">
        <f t="shared" si="286"/>
        <v>2.6</v>
      </c>
      <c r="T211" s="598">
        <f t="shared" si="287"/>
        <v>5.9499999999999993</v>
      </c>
      <c r="U211" s="599">
        <f t="shared" si="288"/>
        <v>6.85</v>
      </c>
      <c r="V211" s="597"/>
      <c r="W211" s="603">
        <f t="shared" si="289"/>
        <v>2.64625E-2</v>
      </c>
      <c r="X211" s="594">
        <f t="shared" si="290"/>
        <v>0.17</v>
      </c>
      <c r="Y211" s="600">
        <f t="shared" si="291"/>
        <v>0.23464624999999997</v>
      </c>
      <c r="Z211" s="604">
        <f t="shared" si="292"/>
        <v>0.43110874999999999</v>
      </c>
      <c r="AB211" s="78" t="str">
        <f>Aannames!$C$198</f>
        <v>265  R 16</v>
      </c>
      <c r="AC211" s="772">
        <v>5</v>
      </c>
      <c r="AD211" s="80">
        <f t="shared" si="293"/>
        <v>3.4000000000000002E-2</v>
      </c>
    </row>
    <row r="212" spans="1:30">
      <c r="A212" s="310">
        <f t="shared" si="278"/>
        <v>212</v>
      </c>
      <c r="C212" s="86"/>
      <c r="D212" s="167" t="s">
        <v>1508</v>
      </c>
      <c r="E212" s="678">
        <v>395500</v>
      </c>
      <c r="F212" s="12">
        <v>160000</v>
      </c>
      <c r="G212" s="12">
        <v>20000</v>
      </c>
      <c r="H212" s="12">
        <v>50</v>
      </c>
      <c r="I212" s="576">
        <v>7.6</v>
      </c>
      <c r="J212" s="575">
        <f t="shared" si="279"/>
        <v>13.157894736842106</v>
      </c>
      <c r="K212" s="120" t="s">
        <v>147</v>
      </c>
      <c r="L212" s="594">
        <f t="shared" si="280"/>
        <v>2.2000000000000002</v>
      </c>
      <c r="M212" s="595">
        <f t="shared" si="281"/>
        <v>0.8</v>
      </c>
      <c r="N212" s="600">
        <f t="shared" si="282"/>
        <v>1.1500000000000001</v>
      </c>
      <c r="O212" s="601">
        <f t="shared" si="283"/>
        <v>4.1500000000000004</v>
      </c>
      <c r="P212" s="602">
        <f>MROUND(1/$J212*IF(K212="Petrol",Aannames!$F$65,$E$297),0.05)</f>
        <v>0.95000000000000007</v>
      </c>
      <c r="Q212" s="594">
        <f t="shared" si="284"/>
        <v>1.25</v>
      </c>
      <c r="R212" s="600">
        <f t="shared" si="285"/>
        <v>0.45</v>
      </c>
      <c r="S212" s="601">
        <f t="shared" si="286"/>
        <v>2.6500000000000004</v>
      </c>
      <c r="T212" s="598">
        <f t="shared" si="287"/>
        <v>5.8500000000000005</v>
      </c>
      <c r="U212" s="599">
        <f t="shared" si="288"/>
        <v>6.8000000000000007</v>
      </c>
      <c r="V212" s="597"/>
      <c r="W212" s="603">
        <f t="shared" si="289"/>
        <v>2.7549999999999998E-2</v>
      </c>
      <c r="X212" s="594">
        <f t="shared" si="290"/>
        <v>0.17</v>
      </c>
      <c r="Y212" s="600">
        <f t="shared" si="291"/>
        <v>0.23975500000000005</v>
      </c>
      <c r="Z212" s="604">
        <f t="shared" si="292"/>
        <v>0.43730500000000005</v>
      </c>
      <c r="AB212" s="78" t="str">
        <f>Aannames!$C$198</f>
        <v>265  R 16</v>
      </c>
      <c r="AC212" s="772">
        <v>5</v>
      </c>
      <c r="AD212" s="80">
        <f t="shared" si="293"/>
        <v>3.4000000000000002E-2</v>
      </c>
    </row>
    <row r="213" spans="1:30">
      <c r="A213" s="310">
        <f t="shared" si="278"/>
        <v>213</v>
      </c>
      <c r="C213" s="86"/>
      <c r="D213" s="167" t="s">
        <v>1507</v>
      </c>
      <c r="E213" s="678">
        <v>456300</v>
      </c>
      <c r="F213" s="12">
        <v>160000</v>
      </c>
      <c r="G213" s="12">
        <v>20000</v>
      </c>
      <c r="H213" s="12">
        <v>50</v>
      </c>
      <c r="I213" s="576">
        <v>7.6</v>
      </c>
      <c r="J213" s="575">
        <f t="shared" si="279"/>
        <v>13.157894736842106</v>
      </c>
      <c r="K213" s="120" t="s">
        <v>147</v>
      </c>
      <c r="L213" s="594">
        <f t="shared" si="280"/>
        <v>2.5500000000000003</v>
      </c>
      <c r="M213" s="595">
        <f t="shared" si="281"/>
        <v>0.95000000000000007</v>
      </c>
      <c r="N213" s="600">
        <f t="shared" si="282"/>
        <v>1.3</v>
      </c>
      <c r="O213" s="601">
        <f t="shared" si="283"/>
        <v>4.8000000000000007</v>
      </c>
      <c r="P213" s="602">
        <f>MROUND(1/$J213*IF(K213="Petrol",Aannames!$F$65,$E$297),0.05)</f>
        <v>0.95000000000000007</v>
      </c>
      <c r="Q213" s="594">
        <f t="shared" si="284"/>
        <v>1.4500000000000002</v>
      </c>
      <c r="R213" s="600">
        <f t="shared" si="285"/>
        <v>0.45</v>
      </c>
      <c r="S213" s="601">
        <f t="shared" si="286"/>
        <v>2.8500000000000005</v>
      </c>
      <c r="T213" s="598">
        <f t="shared" si="287"/>
        <v>6.7000000000000011</v>
      </c>
      <c r="U213" s="599">
        <f t="shared" si="288"/>
        <v>7.6500000000000012</v>
      </c>
      <c r="V213" s="597"/>
      <c r="W213" s="603">
        <f t="shared" si="289"/>
        <v>2.7549999999999998E-2</v>
      </c>
      <c r="X213" s="594">
        <f t="shared" si="290"/>
        <v>0.17</v>
      </c>
      <c r="Y213" s="600">
        <f t="shared" si="291"/>
        <v>0.25975500000000001</v>
      </c>
      <c r="Z213" s="604">
        <f t="shared" si="292"/>
        <v>0.45730500000000002</v>
      </c>
      <c r="AB213" s="78" t="str">
        <f>Aannames!$C$198</f>
        <v>265  R 16</v>
      </c>
      <c r="AC213" s="772">
        <v>5</v>
      </c>
      <c r="AD213" s="80">
        <f t="shared" si="293"/>
        <v>3.4000000000000002E-2</v>
      </c>
    </row>
    <row r="214" spans="1:30">
      <c r="A214" s="310">
        <f t="shared" si="278"/>
        <v>214</v>
      </c>
      <c r="C214" s="86"/>
      <c r="D214" s="16" t="s">
        <v>1474</v>
      </c>
      <c r="E214" s="678">
        <v>354800</v>
      </c>
      <c r="F214" s="12">
        <v>160000</v>
      </c>
      <c r="G214" s="12">
        <v>20000</v>
      </c>
      <c r="H214" s="12">
        <v>50</v>
      </c>
      <c r="I214" s="576">
        <v>8</v>
      </c>
      <c r="J214" s="575">
        <f t="shared" si="279"/>
        <v>12.5</v>
      </c>
      <c r="K214" s="120" t="s">
        <v>147</v>
      </c>
      <c r="L214" s="594">
        <f t="shared" si="280"/>
        <v>2</v>
      </c>
      <c r="M214" s="595">
        <f t="shared" si="281"/>
        <v>0.75</v>
      </c>
      <c r="N214" s="600">
        <f t="shared" si="282"/>
        <v>1</v>
      </c>
      <c r="O214" s="601">
        <f t="shared" si="283"/>
        <v>3.75</v>
      </c>
      <c r="P214" s="602">
        <f>MROUND(1/$J214*IF(K214="Petrol",Aannames!$F$65,$E$297),0.05)</f>
        <v>1</v>
      </c>
      <c r="Q214" s="594">
        <f t="shared" si="284"/>
        <v>1.1000000000000001</v>
      </c>
      <c r="R214" s="600">
        <f t="shared" si="285"/>
        <v>0.45</v>
      </c>
      <c r="S214" s="601">
        <f t="shared" si="286"/>
        <v>2.5500000000000003</v>
      </c>
      <c r="T214" s="598">
        <f t="shared" si="287"/>
        <v>5.3000000000000007</v>
      </c>
      <c r="U214" s="599">
        <f t="shared" si="288"/>
        <v>6.3000000000000007</v>
      </c>
      <c r="V214" s="597"/>
      <c r="W214" s="603">
        <f t="shared" si="289"/>
        <v>2.9000000000000001E-2</v>
      </c>
      <c r="X214" s="594">
        <f t="shared" si="290"/>
        <v>0.17</v>
      </c>
      <c r="Y214" s="600">
        <f t="shared" si="291"/>
        <v>0.22989999999999999</v>
      </c>
      <c r="Z214" s="604">
        <f t="shared" si="292"/>
        <v>0.4289</v>
      </c>
      <c r="AB214" s="78" t="str">
        <f>Aannames!$C$198</f>
        <v>265  R 16</v>
      </c>
      <c r="AC214" s="772">
        <v>5</v>
      </c>
      <c r="AD214" s="80">
        <f t="shared" si="293"/>
        <v>3.4000000000000002E-2</v>
      </c>
    </row>
    <row r="215" spans="1:30">
      <c r="A215" s="310">
        <f t="shared" si="278"/>
        <v>215</v>
      </c>
      <c r="C215" s="86"/>
      <c r="D215" s="16" t="s">
        <v>1475</v>
      </c>
      <c r="E215" s="678">
        <v>430000</v>
      </c>
      <c r="F215" s="12">
        <v>160000</v>
      </c>
      <c r="G215" s="12">
        <v>20000</v>
      </c>
      <c r="H215" s="12">
        <v>50</v>
      </c>
      <c r="I215" s="576">
        <v>8</v>
      </c>
      <c r="J215" s="575">
        <f t="shared" si="279"/>
        <v>12.5</v>
      </c>
      <c r="K215" s="120" t="s">
        <v>147</v>
      </c>
      <c r="L215" s="594">
        <f t="shared" si="280"/>
        <v>2.4000000000000004</v>
      </c>
      <c r="M215" s="595">
        <f t="shared" si="281"/>
        <v>0.9</v>
      </c>
      <c r="N215" s="600">
        <f t="shared" si="282"/>
        <v>1.25</v>
      </c>
      <c r="O215" s="601">
        <f t="shared" si="283"/>
        <v>4.5500000000000007</v>
      </c>
      <c r="P215" s="602">
        <f>MROUND(1/$J215*IF(K215="Petrol",Aannames!$F$65,$E$297),0.05)</f>
        <v>1</v>
      </c>
      <c r="Q215" s="594">
        <f t="shared" si="284"/>
        <v>1.35</v>
      </c>
      <c r="R215" s="600">
        <f t="shared" si="285"/>
        <v>0.45</v>
      </c>
      <c r="S215" s="601">
        <f t="shared" si="286"/>
        <v>2.8000000000000003</v>
      </c>
      <c r="T215" s="598">
        <f t="shared" si="287"/>
        <v>6.3500000000000014</v>
      </c>
      <c r="U215" s="599">
        <f t="shared" si="288"/>
        <v>7.3500000000000014</v>
      </c>
      <c r="V215" s="597"/>
      <c r="W215" s="603">
        <f t="shared" si="289"/>
        <v>2.9000000000000001E-2</v>
      </c>
      <c r="X215" s="594">
        <f t="shared" si="290"/>
        <v>0.17</v>
      </c>
      <c r="Y215" s="600">
        <f t="shared" si="291"/>
        <v>0.25489999999999996</v>
      </c>
      <c r="Z215" s="604">
        <f t="shared" si="292"/>
        <v>0.45389999999999997</v>
      </c>
      <c r="AB215" s="78" t="str">
        <f>Aannames!$C$198</f>
        <v>265  R 16</v>
      </c>
      <c r="AC215" s="772">
        <v>5</v>
      </c>
      <c r="AD215" s="80">
        <f t="shared" si="293"/>
        <v>3.4000000000000002E-2</v>
      </c>
    </row>
    <row r="216" spans="1:30">
      <c r="A216" s="310">
        <f t="shared" si="278"/>
        <v>216</v>
      </c>
      <c r="C216" s="86"/>
      <c r="D216" s="16" t="s">
        <v>1476</v>
      </c>
      <c r="E216" s="678">
        <v>492900</v>
      </c>
      <c r="F216" s="12">
        <v>160000</v>
      </c>
      <c r="G216" s="12">
        <v>20000</v>
      </c>
      <c r="H216" s="12">
        <v>50</v>
      </c>
      <c r="I216" s="576">
        <v>8</v>
      </c>
      <c r="J216" s="575">
        <f t="shared" si="279"/>
        <v>12.5</v>
      </c>
      <c r="K216" s="120" t="s">
        <v>147</v>
      </c>
      <c r="L216" s="594">
        <f t="shared" si="280"/>
        <v>2.75</v>
      </c>
      <c r="M216" s="595">
        <f t="shared" si="281"/>
        <v>1</v>
      </c>
      <c r="N216" s="600">
        <f t="shared" si="282"/>
        <v>1.4000000000000001</v>
      </c>
      <c r="O216" s="601">
        <f t="shared" si="283"/>
        <v>5.15</v>
      </c>
      <c r="P216" s="602">
        <f>MROUND(1/$J216*IF(K216="Petrol",Aannames!$F$65,$E$297),0.05)</f>
        <v>1</v>
      </c>
      <c r="Q216" s="594">
        <f t="shared" si="284"/>
        <v>1.55</v>
      </c>
      <c r="R216" s="600">
        <f t="shared" si="285"/>
        <v>0.45</v>
      </c>
      <c r="S216" s="601">
        <f t="shared" si="286"/>
        <v>3</v>
      </c>
      <c r="T216" s="598">
        <f t="shared" si="287"/>
        <v>7.15</v>
      </c>
      <c r="U216" s="599">
        <f t="shared" si="288"/>
        <v>8.15</v>
      </c>
      <c r="V216" s="597"/>
      <c r="W216" s="603">
        <f t="shared" si="289"/>
        <v>2.9000000000000001E-2</v>
      </c>
      <c r="X216" s="594">
        <f t="shared" si="290"/>
        <v>0.17</v>
      </c>
      <c r="Y216" s="600">
        <f t="shared" si="291"/>
        <v>0.27489999999999992</v>
      </c>
      <c r="Z216" s="604">
        <f t="shared" si="292"/>
        <v>0.47389999999999993</v>
      </c>
      <c r="AB216" s="78" t="str">
        <f>Aannames!$C$198</f>
        <v>265  R 16</v>
      </c>
      <c r="AC216" s="772">
        <v>5</v>
      </c>
      <c r="AD216" s="80">
        <f t="shared" si="293"/>
        <v>3.4000000000000002E-2</v>
      </c>
    </row>
    <row r="217" spans="1:30">
      <c r="A217" s="310">
        <f t="shared" si="278"/>
        <v>217</v>
      </c>
      <c r="C217" s="86"/>
      <c r="D217" s="16" t="s">
        <v>1477</v>
      </c>
      <c r="E217" s="678">
        <v>385800</v>
      </c>
      <c r="F217" s="12">
        <v>160000</v>
      </c>
      <c r="G217" s="12">
        <v>20000</v>
      </c>
      <c r="H217" s="12">
        <v>50</v>
      </c>
      <c r="I217" s="576">
        <v>12.7</v>
      </c>
      <c r="J217" s="575">
        <f t="shared" si="279"/>
        <v>7.8740157480314963</v>
      </c>
      <c r="K217" s="120" t="s">
        <v>1157</v>
      </c>
      <c r="L217" s="594">
        <f t="shared" si="280"/>
        <v>2.15</v>
      </c>
      <c r="M217" s="595">
        <f t="shared" si="281"/>
        <v>0.8</v>
      </c>
      <c r="N217" s="600">
        <f t="shared" si="282"/>
        <v>1.1000000000000001</v>
      </c>
      <c r="O217" s="601">
        <f t="shared" si="283"/>
        <v>4.0500000000000007</v>
      </c>
      <c r="P217" s="602">
        <f>MROUND(1/$J217*IF(K217="Petrol",Aannames!$F$65,$E$297),0.05)</f>
        <v>1.6500000000000001</v>
      </c>
      <c r="Q217" s="594">
        <f t="shared" si="284"/>
        <v>1.2000000000000002</v>
      </c>
      <c r="R217" s="600">
        <f t="shared" si="285"/>
        <v>0.5</v>
      </c>
      <c r="S217" s="601">
        <f t="shared" si="286"/>
        <v>3.3500000000000005</v>
      </c>
      <c r="T217" s="598">
        <f t="shared" si="287"/>
        <v>5.7500000000000009</v>
      </c>
      <c r="U217" s="599">
        <f t="shared" si="288"/>
        <v>7.4000000000000012</v>
      </c>
      <c r="V217" s="597"/>
      <c r="W217" s="603">
        <f t="shared" si="289"/>
        <v>4.6037500000000002E-2</v>
      </c>
      <c r="X217" s="594">
        <f t="shared" si="290"/>
        <v>0.17</v>
      </c>
      <c r="Y217" s="600">
        <f t="shared" si="291"/>
        <v>0.30660375000000006</v>
      </c>
      <c r="Z217" s="604">
        <f t="shared" si="292"/>
        <v>0.52264125000000006</v>
      </c>
      <c r="AB217" s="78" t="str">
        <f>Aannames!$C$198</f>
        <v>265  R 16</v>
      </c>
      <c r="AC217" s="772">
        <v>5</v>
      </c>
      <c r="AD217" s="80">
        <f t="shared" si="293"/>
        <v>3.4000000000000002E-2</v>
      </c>
    </row>
    <row r="218" spans="1:30">
      <c r="A218" s="310">
        <f t="shared" si="278"/>
        <v>218</v>
      </c>
      <c r="C218" s="86"/>
      <c r="D218" s="16" t="s">
        <v>1478</v>
      </c>
      <c r="E218" s="678">
        <v>442700</v>
      </c>
      <c r="F218" s="12">
        <v>160000</v>
      </c>
      <c r="G218" s="12">
        <v>20000</v>
      </c>
      <c r="H218" s="12">
        <v>50</v>
      </c>
      <c r="I218" s="576">
        <v>8.5</v>
      </c>
      <c r="J218" s="575">
        <f t="shared" si="279"/>
        <v>11.764705882352942</v>
      </c>
      <c r="K218" s="120" t="s">
        <v>147</v>
      </c>
      <c r="L218" s="594">
        <f t="shared" si="280"/>
        <v>2.5</v>
      </c>
      <c r="M218" s="595">
        <f t="shared" si="281"/>
        <v>0.9</v>
      </c>
      <c r="N218" s="600">
        <f t="shared" si="282"/>
        <v>1.3</v>
      </c>
      <c r="O218" s="601">
        <f t="shared" si="283"/>
        <v>4.7</v>
      </c>
      <c r="P218" s="602">
        <f>MROUND(1/$J218*IF(K218="Petrol",Aannames!$F$65,$E$297),0.05)</f>
        <v>1.05</v>
      </c>
      <c r="Q218" s="594">
        <f t="shared" si="284"/>
        <v>1.4000000000000001</v>
      </c>
      <c r="R218" s="600">
        <f t="shared" si="285"/>
        <v>0.45</v>
      </c>
      <c r="S218" s="601">
        <f t="shared" si="286"/>
        <v>2.9000000000000004</v>
      </c>
      <c r="T218" s="598">
        <f t="shared" si="287"/>
        <v>6.5500000000000007</v>
      </c>
      <c r="U218" s="599">
        <f t="shared" si="288"/>
        <v>7.6000000000000005</v>
      </c>
      <c r="V218" s="597"/>
      <c r="W218" s="603">
        <f t="shared" si="289"/>
        <v>3.08125E-2</v>
      </c>
      <c r="X218" s="594">
        <f t="shared" si="290"/>
        <v>0.17</v>
      </c>
      <c r="Y218" s="600">
        <f t="shared" si="291"/>
        <v>0.26508125000000005</v>
      </c>
      <c r="Z218" s="604">
        <f t="shared" si="292"/>
        <v>0.46589375000000005</v>
      </c>
      <c r="AB218" s="78" t="str">
        <f>Aannames!$C$198</f>
        <v>265  R 16</v>
      </c>
      <c r="AC218" s="772">
        <v>5</v>
      </c>
      <c r="AD218" s="80">
        <f t="shared" si="293"/>
        <v>3.4000000000000002E-2</v>
      </c>
    </row>
    <row r="219" spans="1:30">
      <c r="A219" s="310">
        <f t="shared" si="278"/>
        <v>219</v>
      </c>
      <c r="C219" s="86"/>
      <c r="D219" s="16" t="s">
        <v>1479</v>
      </c>
      <c r="E219" s="678">
        <v>468800</v>
      </c>
      <c r="F219" s="12">
        <v>160000</v>
      </c>
      <c r="G219" s="12">
        <v>20000</v>
      </c>
      <c r="H219" s="12">
        <v>50</v>
      </c>
      <c r="I219" s="576">
        <v>8.8000000000000007</v>
      </c>
      <c r="J219" s="575">
        <f t="shared" si="279"/>
        <v>11.363636363636363</v>
      </c>
      <c r="K219" s="120" t="s">
        <v>147</v>
      </c>
      <c r="L219" s="594">
        <f t="shared" si="280"/>
        <v>2.6500000000000004</v>
      </c>
      <c r="M219" s="595">
        <f t="shared" si="281"/>
        <v>0.95000000000000007</v>
      </c>
      <c r="N219" s="600">
        <f t="shared" si="282"/>
        <v>1.35</v>
      </c>
      <c r="O219" s="601">
        <f t="shared" si="283"/>
        <v>4.9500000000000011</v>
      </c>
      <c r="P219" s="602">
        <f>MROUND(1/$J219*IF(K219="Petrol",Aannames!$F$65,$E$297),0.05)</f>
        <v>1.1000000000000001</v>
      </c>
      <c r="Q219" s="594">
        <f t="shared" si="284"/>
        <v>1.4500000000000002</v>
      </c>
      <c r="R219" s="600">
        <f t="shared" si="285"/>
        <v>0.5</v>
      </c>
      <c r="S219" s="601">
        <f t="shared" si="286"/>
        <v>3.0500000000000003</v>
      </c>
      <c r="T219" s="598">
        <f t="shared" si="287"/>
        <v>6.9000000000000021</v>
      </c>
      <c r="U219" s="599">
        <f t="shared" si="288"/>
        <v>8.0000000000000018</v>
      </c>
      <c r="V219" s="597"/>
      <c r="W219" s="603">
        <f t="shared" si="289"/>
        <v>3.1900000000000005E-2</v>
      </c>
      <c r="X219" s="594">
        <f t="shared" si="290"/>
        <v>0.17</v>
      </c>
      <c r="Y219" s="600">
        <f t="shared" si="291"/>
        <v>0.27518999999999999</v>
      </c>
      <c r="Z219" s="604">
        <f t="shared" si="292"/>
        <v>0.47709000000000001</v>
      </c>
      <c r="AB219" s="78" t="str">
        <f>Aannames!$C$198</f>
        <v>265  R 16</v>
      </c>
      <c r="AC219" s="772">
        <v>5</v>
      </c>
      <c r="AD219" s="80">
        <f t="shared" si="293"/>
        <v>3.4000000000000002E-2</v>
      </c>
    </row>
    <row r="220" spans="1:30">
      <c r="A220" s="310">
        <f t="shared" si="278"/>
        <v>220</v>
      </c>
      <c r="C220" s="86"/>
      <c r="D220" s="167" t="s">
        <v>1502</v>
      </c>
      <c r="E220" s="678">
        <v>462500</v>
      </c>
      <c r="F220" s="12">
        <v>160000</v>
      </c>
      <c r="G220" s="12">
        <v>20000</v>
      </c>
      <c r="H220" s="12">
        <v>50</v>
      </c>
      <c r="I220" s="576">
        <v>8.8000000000000007</v>
      </c>
      <c r="J220" s="575">
        <f t="shared" si="279"/>
        <v>11.363636363636363</v>
      </c>
      <c r="K220" s="120" t="s">
        <v>147</v>
      </c>
      <c r="L220" s="594">
        <f t="shared" si="280"/>
        <v>2.6</v>
      </c>
      <c r="M220" s="595">
        <f t="shared" si="281"/>
        <v>0.95000000000000007</v>
      </c>
      <c r="N220" s="600">
        <f t="shared" si="282"/>
        <v>1.35</v>
      </c>
      <c r="O220" s="601">
        <f t="shared" si="283"/>
        <v>4.9000000000000004</v>
      </c>
      <c r="P220" s="602">
        <f>MROUND(1/$J220*IF(K220="Petrol",Aannames!$F$65,$E$297),0.05)</f>
        <v>1.1000000000000001</v>
      </c>
      <c r="Q220" s="594">
        <f t="shared" si="284"/>
        <v>1.4500000000000002</v>
      </c>
      <c r="R220" s="600">
        <f t="shared" si="285"/>
        <v>0.5</v>
      </c>
      <c r="S220" s="601">
        <f t="shared" si="286"/>
        <v>3.0500000000000003</v>
      </c>
      <c r="T220" s="598">
        <f t="shared" si="287"/>
        <v>6.8500000000000014</v>
      </c>
      <c r="U220" s="599">
        <f t="shared" si="288"/>
        <v>7.9500000000000011</v>
      </c>
      <c r="V220" s="597"/>
      <c r="W220" s="603">
        <f t="shared" si="289"/>
        <v>3.1900000000000005E-2</v>
      </c>
      <c r="X220" s="594">
        <f t="shared" si="290"/>
        <v>0.17</v>
      </c>
      <c r="Y220" s="600">
        <f t="shared" si="291"/>
        <v>0.27518999999999999</v>
      </c>
      <c r="Z220" s="604">
        <f t="shared" si="292"/>
        <v>0.47709000000000001</v>
      </c>
      <c r="AB220" s="78" t="str">
        <f>Aannames!$C$198</f>
        <v>265  R 16</v>
      </c>
      <c r="AC220" s="772">
        <v>5</v>
      </c>
      <c r="AD220" s="80">
        <f t="shared" si="293"/>
        <v>3.4000000000000002E-2</v>
      </c>
    </row>
    <row r="221" spans="1:30">
      <c r="A221" s="310">
        <f t="shared" si="278"/>
        <v>221</v>
      </c>
      <c r="C221" s="86"/>
      <c r="D221" s="167" t="s">
        <v>1503</v>
      </c>
      <c r="E221" s="678">
        <v>490700</v>
      </c>
      <c r="F221" s="12">
        <v>160000</v>
      </c>
      <c r="G221" s="12">
        <v>20000</v>
      </c>
      <c r="H221" s="12">
        <v>50</v>
      </c>
      <c r="I221" s="576">
        <v>9.1</v>
      </c>
      <c r="J221" s="575">
        <f t="shared" si="279"/>
        <v>10.989010989010989</v>
      </c>
      <c r="K221" s="120" t="s">
        <v>147</v>
      </c>
      <c r="L221" s="594">
        <f t="shared" si="280"/>
        <v>2.75</v>
      </c>
      <c r="M221" s="595">
        <f t="shared" si="281"/>
        <v>1</v>
      </c>
      <c r="N221" s="600">
        <f t="shared" si="282"/>
        <v>1.4000000000000001</v>
      </c>
      <c r="O221" s="601">
        <f t="shared" si="283"/>
        <v>5.15</v>
      </c>
      <c r="P221" s="602">
        <f>MROUND(1/$J221*IF(K221="Petrol",Aannames!$F$65,$E$297),0.05)</f>
        <v>1.1000000000000001</v>
      </c>
      <c r="Q221" s="594">
        <f t="shared" si="284"/>
        <v>1.55</v>
      </c>
      <c r="R221" s="600">
        <f t="shared" si="285"/>
        <v>0.5</v>
      </c>
      <c r="S221" s="601">
        <f t="shared" si="286"/>
        <v>3.1500000000000004</v>
      </c>
      <c r="T221" s="598">
        <f t="shared" si="287"/>
        <v>7.2000000000000011</v>
      </c>
      <c r="U221" s="599">
        <f t="shared" si="288"/>
        <v>8.3000000000000007</v>
      </c>
      <c r="V221" s="597"/>
      <c r="W221" s="603">
        <f t="shared" si="289"/>
        <v>3.2987500000000003E-2</v>
      </c>
      <c r="X221" s="594">
        <f t="shared" si="290"/>
        <v>0.17</v>
      </c>
      <c r="Y221" s="600">
        <f t="shared" si="291"/>
        <v>0.28529875000000005</v>
      </c>
      <c r="Z221" s="604">
        <f t="shared" si="292"/>
        <v>0.48828625000000003</v>
      </c>
      <c r="AB221" s="78" t="str">
        <f>Aannames!$C$198</f>
        <v>265  R 16</v>
      </c>
      <c r="AC221" s="772">
        <v>5</v>
      </c>
      <c r="AD221" s="80">
        <f t="shared" si="293"/>
        <v>3.4000000000000002E-2</v>
      </c>
    </row>
    <row r="222" spans="1:30">
      <c r="A222" s="310">
        <f t="shared" si="278"/>
        <v>222</v>
      </c>
      <c r="C222" s="86"/>
      <c r="D222" s="167" t="s">
        <v>1504</v>
      </c>
      <c r="E222" s="678">
        <v>508500</v>
      </c>
      <c r="F222" s="12">
        <v>160000</v>
      </c>
      <c r="G222" s="12">
        <v>20000</v>
      </c>
      <c r="H222" s="12">
        <v>50</v>
      </c>
      <c r="I222" s="576">
        <v>9.6</v>
      </c>
      <c r="J222" s="575">
        <f t="shared" si="279"/>
        <v>10.416666666666668</v>
      </c>
      <c r="K222" s="120" t="s">
        <v>147</v>
      </c>
      <c r="L222" s="594">
        <f t="shared" si="280"/>
        <v>2.85</v>
      </c>
      <c r="M222" s="595">
        <f t="shared" si="281"/>
        <v>1.05</v>
      </c>
      <c r="N222" s="600">
        <f t="shared" si="282"/>
        <v>1.4500000000000002</v>
      </c>
      <c r="O222" s="601">
        <f t="shared" si="283"/>
        <v>5.3500000000000005</v>
      </c>
      <c r="P222" s="602">
        <f>MROUND(1/$J222*IF(K222="Petrol",Aannames!$F$65,$E$297),0.05)</f>
        <v>1.2000000000000002</v>
      </c>
      <c r="Q222" s="594">
        <f t="shared" si="284"/>
        <v>1.6</v>
      </c>
      <c r="R222" s="600">
        <f t="shared" si="285"/>
        <v>0.5</v>
      </c>
      <c r="S222" s="601">
        <f t="shared" si="286"/>
        <v>3.3000000000000003</v>
      </c>
      <c r="T222" s="598">
        <f t="shared" si="287"/>
        <v>7.45</v>
      </c>
      <c r="U222" s="599">
        <f t="shared" si="288"/>
        <v>8.65</v>
      </c>
      <c r="V222" s="597"/>
      <c r="W222" s="603">
        <f t="shared" si="289"/>
        <v>3.4799999999999998E-2</v>
      </c>
      <c r="X222" s="594">
        <f t="shared" si="290"/>
        <v>0.17</v>
      </c>
      <c r="Y222" s="600">
        <f t="shared" si="291"/>
        <v>0.30048000000000002</v>
      </c>
      <c r="Z222" s="604">
        <f t="shared" si="292"/>
        <v>0.50528000000000006</v>
      </c>
      <c r="AB222" s="78" t="str">
        <f>Aannames!$C$198</f>
        <v>265  R 16</v>
      </c>
      <c r="AC222" s="772">
        <v>5</v>
      </c>
      <c r="AD222" s="80">
        <f t="shared" si="293"/>
        <v>3.4000000000000002E-2</v>
      </c>
    </row>
    <row r="223" spans="1:30">
      <c r="A223" s="310">
        <f t="shared" si="278"/>
        <v>223</v>
      </c>
      <c r="C223" s="86"/>
      <c r="D223" s="167" t="s">
        <v>1505</v>
      </c>
      <c r="E223" s="678">
        <v>554600</v>
      </c>
      <c r="F223" s="12">
        <v>160000</v>
      </c>
      <c r="G223" s="12">
        <v>20000</v>
      </c>
      <c r="H223" s="12">
        <v>50</v>
      </c>
      <c r="I223" s="576">
        <v>9.1</v>
      </c>
      <c r="J223" s="575">
        <f t="shared" si="279"/>
        <v>10.989010989010989</v>
      </c>
      <c r="K223" s="120" t="s">
        <v>147</v>
      </c>
      <c r="L223" s="594">
        <f t="shared" si="280"/>
        <v>3.1</v>
      </c>
      <c r="M223" s="595">
        <f t="shared" si="281"/>
        <v>1.1500000000000001</v>
      </c>
      <c r="N223" s="600">
        <f t="shared" si="282"/>
        <v>1.6</v>
      </c>
      <c r="O223" s="601">
        <f t="shared" si="283"/>
        <v>5.85</v>
      </c>
      <c r="P223" s="602">
        <f>MROUND(1/$J223*IF(K223="Petrol",Aannames!$F$65,$E$297),0.05)</f>
        <v>1.1000000000000001</v>
      </c>
      <c r="Q223" s="594">
        <f t="shared" si="284"/>
        <v>1.75</v>
      </c>
      <c r="R223" s="600">
        <f t="shared" si="285"/>
        <v>0.5</v>
      </c>
      <c r="S223" s="601">
        <f t="shared" si="286"/>
        <v>3.35</v>
      </c>
      <c r="T223" s="598">
        <f t="shared" si="287"/>
        <v>8.1</v>
      </c>
      <c r="U223" s="599">
        <f t="shared" si="288"/>
        <v>9.1999999999999993</v>
      </c>
      <c r="V223" s="597"/>
      <c r="W223" s="603">
        <f t="shared" si="289"/>
        <v>3.2987500000000003E-2</v>
      </c>
      <c r="X223" s="594">
        <f t="shared" si="290"/>
        <v>0.17</v>
      </c>
      <c r="Y223" s="600">
        <f t="shared" si="291"/>
        <v>0.30529875000000001</v>
      </c>
      <c r="Z223" s="604">
        <f t="shared" si="292"/>
        <v>0.50828625000000005</v>
      </c>
      <c r="AB223" s="78" t="str">
        <f>Aannames!$C$198</f>
        <v>265  R 16</v>
      </c>
      <c r="AC223" s="772">
        <v>5</v>
      </c>
      <c r="AD223" s="80">
        <f t="shared" si="293"/>
        <v>3.4000000000000002E-2</v>
      </c>
    </row>
    <row r="224" spans="1:30">
      <c r="A224" s="310">
        <f t="shared" si="278"/>
        <v>224</v>
      </c>
      <c r="C224" s="86"/>
      <c r="D224" s="167" t="s">
        <v>1506</v>
      </c>
      <c r="E224" s="678">
        <v>573500</v>
      </c>
      <c r="F224" s="12">
        <v>160000</v>
      </c>
      <c r="G224" s="12">
        <v>20000</v>
      </c>
      <c r="H224" s="12">
        <v>50</v>
      </c>
      <c r="I224" s="576">
        <v>10.199999999999999</v>
      </c>
      <c r="J224" s="575">
        <f t="shared" si="279"/>
        <v>9.8039215686274517</v>
      </c>
      <c r="K224" s="120" t="s">
        <v>147</v>
      </c>
      <c r="L224" s="594">
        <f t="shared" si="280"/>
        <v>3.25</v>
      </c>
      <c r="M224" s="595">
        <f t="shared" si="281"/>
        <v>1.2000000000000002</v>
      </c>
      <c r="N224" s="600">
        <f t="shared" si="282"/>
        <v>1.6500000000000001</v>
      </c>
      <c r="O224" s="601">
        <f t="shared" si="283"/>
        <v>6.1000000000000005</v>
      </c>
      <c r="P224" s="602">
        <f>MROUND(1/$J224*IF(K224="Petrol",Aannames!$F$65,$E$297),0.05)</f>
        <v>1.25</v>
      </c>
      <c r="Q224" s="594">
        <f t="shared" si="284"/>
        <v>1.8</v>
      </c>
      <c r="R224" s="600">
        <f t="shared" si="285"/>
        <v>0.55000000000000004</v>
      </c>
      <c r="S224" s="601">
        <f t="shared" si="286"/>
        <v>3.5999999999999996</v>
      </c>
      <c r="T224" s="598">
        <f t="shared" si="287"/>
        <v>8.4499999999999993</v>
      </c>
      <c r="U224" s="599">
        <f t="shared" si="288"/>
        <v>9.6999999999999993</v>
      </c>
      <c r="V224" s="597"/>
      <c r="W224" s="603">
        <f t="shared" si="289"/>
        <v>3.6974999999999994E-2</v>
      </c>
      <c r="X224" s="594">
        <f t="shared" si="290"/>
        <v>0.17</v>
      </c>
      <c r="Y224" s="600">
        <f t="shared" si="291"/>
        <v>0.32569749999999997</v>
      </c>
      <c r="Z224" s="604">
        <f t="shared" si="292"/>
        <v>0.53267249999999999</v>
      </c>
      <c r="AB224" s="78" t="str">
        <f>Aannames!$C$198</f>
        <v>265  R 16</v>
      </c>
      <c r="AC224" s="772">
        <v>5</v>
      </c>
      <c r="AD224" s="80">
        <f t="shared" si="293"/>
        <v>3.4000000000000002E-2</v>
      </c>
    </row>
    <row r="225" spans="1:30">
      <c r="A225" s="310">
        <f t="shared" si="278"/>
        <v>225</v>
      </c>
      <c r="C225" s="86"/>
      <c r="D225" s="16" t="s">
        <v>1480</v>
      </c>
      <c r="E225" s="678">
        <v>527400</v>
      </c>
      <c r="F225" s="12">
        <v>160000</v>
      </c>
      <c r="G225" s="12">
        <v>20000</v>
      </c>
      <c r="H225" s="12">
        <v>50</v>
      </c>
      <c r="I225" s="576">
        <v>14</v>
      </c>
      <c r="J225" s="575">
        <f t="shared" si="279"/>
        <v>7.1428571428571432</v>
      </c>
      <c r="K225" s="120" t="s">
        <v>1157</v>
      </c>
      <c r="L225" s="594">
        <f t="shared" si="280"/>
        <v>2.95</v>
      </c>
      <c r="M225" s="595">
        <f t="shared" si="281"/>
        <v>1.1000000000000001</v>
      </c>
      <c r="N225" s="600">
        <f t="shared" si="282"/>
        <v>1.5</v>
      </c>
      <c r="O225" s="601">
        <f t="shared" si="283"/>
        <v>5.5500000000000007</v>
      </c>
      <c r="P225" s="602">
        <f>MROUND(1/$J225*IF(K225="Petrol",Aannames!$F$65,$E$297),0.05)</f>
        <v>1.8</v>
      </c>
      <c r="Q225" s="594">
        <f t="shared" si="284"/>
        <v>1.6500000000000001</v>
      </c>
      <c r="R225" s="600">
        <f t="shared" si="285"/>
        <v>0.60000000000000009</v>
      </c>
      <c r="S225" s="601">
        <f t="shared" si="286"/>
        <v>4.0500000000000007</v>
      </c>
      <c r="T225" s="598">
        <f t="shared" si="287"/>
        <v>7.8000000000000016</v>
      </c>
      <c r="U225" s="599">
        <f t="shared" si="288"/>
        <v>9.6000000000000014</v>
      </c>
      <c r="V225" s="597"/>
      <c r="W225" s="603">
        <f t="shared" si="289"/>
        <v>5.074999999999999E-2</v>
      </c>
      <c r="X225" s="594">
        <f t="shared" si="290"/>
        <v>0.17</v>
      </c>
      <c r="Y225" s="600">
        <f t="shared" si="291"/>
        <v>0.36707499999999998</v>
      </c>
      <c r="Z225" s="604">
        <f t="shared" si="292"/>
        <v>0.58782500000000004</v>
      </c>
      <c r="AB225" s="78" t="str">
        <f>Aannames!$C$198</f>
        <v>265  R 16</v>
      </c>
      <c r="AC225" s="772">
        <v>5</v>
      </c>
      <c r="AD225" s="80">
        <f t="shared" si="293"/>
        <v>3.4000000000000002E-2</v>
      </c>
    </row>
    <row r="226" spans="1:30">
      <c r="A226" s="310">
        <f t="shared" si="90"/>
        <v>226</v>
      </c>
      <c r="C226" s="86"/>
      <c r="D226" s="16" t="s">
        <v>1481</v>
      </c>
      <c r="E226" s="678">
        <v>621600</v>
      </c>
      <c r="F226" s="12">
        <v>160000</v>
      </c>
      <c r="G226" s="12">
        <v>20000</v>
      </c>
      <c r="H226" s="12">
        <v>50</v>
      </c>
      <c r="I226" s="576">
        <v>14</v>
      </c>
      <c r="J226" s="575">
        <f t="shared" ref="J226:J233" si="294">100/I226</f>
        <v>7.1428571428571432</v>
      </c>
      <c r="K226" s="120" t="s">
        <v>1157</v>
      </c>
      <c r="L226" s="594">
        <f t="shared" si="280"/>
        <v>3.5</v>
      </c>
      <c r="M226" s="595">
        <f t="shared" si="281"/>
        <v>1.3</v>
      </c>
      <c r="N226" s="600">
        <f t="shared" si="282"/>
        <v>1.8</v>
      </c>
      <c r="O226" s="601">
        <f t="shared" ref="O226:O233" si="295">SUM(L226:N226)</f>
        <v>6.6</v>
      </c>
      <c r="P226" s="602">
        <f>MROUND(1/$J226*IF(K226="Petrol",Aannames!$F$65,$E$297),0.05)</f>
        <v>1.8</v>
      </c>
      <c r="Q226" s="594">
        <f t="shared" si="284"/>
        <v>1.9500000000000002</v>
      </c>
      <c r="R226" s="600">
        <f t="shared" ref="R226:R233" si="296">MROUND(SUM(Z226),0.05)</f>
        <v>0.60000000000000009</v>
      </c>
      <c r="S226" s="601">
        <f t="shared" ref="S226:S233" si="297">SUM(P226:R226)</f>
        <v>4.3499999999999996</v>
      </c>
      <c r="T226" s="598">
        <f t="shared" ref="T226:T233" si="298">U226-P226</f>
        <v>9.1499999999999986</v>
      </c>
      <c r="U226" s="599">
        <f t="shared" ref="U226:U233" si="299">S226+O226</f>
        <v>10.95</v>
      </c>
      <c r="V226" s="597"/>
      <c r="W226" s="603">
        <f t="shared" si="289"/>
        <v>5.074999999999999E-2</v>
      </c>
      <c r="X226" s="594">
        <f t="shared" ref="X226:X233" si="300">AC226*AD226</f>
        <v>0.17</v>
      </c>
      <c r="Y226" s="600">
        <f t="shared" si="291"/>
        <v>0.39707499999999996</v>
      </c>
      <c r="Z226" s="604">
        <f t="shared" ref="Z226:Z233" si="301">SUM(W226:Y226)</f>
        <v>0.61782499999999996</v>
      </c>
      <c r="AB226" s="78" t="str">
        <f>Aannames!$C$198</f>
        <v>265  R 16</v>
      </c>
      <c r="AC226" s="772">
        <v>5</v>
      </c>
      <c r="AD226" s="80">
        <f t="shared" si="293"/>
        <v>3.4000000000000002E-2</v>
      </c>
    </row>
    <row r="227" spans="1:30">
      <c r="A227" s="310">
        <f t="shared" si="90"/>
        <v>227</v>
      </c>
      <c r="C227" s="86"/>
      <c r="D227" s="16" t="s">
        <v>1159</v>
      </c>
      <c r="E227" s="678">
        <v>551600</v>
      </c>
      <c r="F227" s="12">
        <v>160000</v>
      </c>
      <c r="G227" s="12">
        <v>20000</v>
      </c>
      <c r="H227" s="12">
        <v>50</v>
      </c>
      <c r="I227" s="576">
        <v>16.3</v>
      </c>
      <c r="J227" s="575">
        <f t="shared" si="294"/>
        <v>6.1349693251533743</v>
      </c>
      <c r="K227" s="120" t="s">
        <v>1157</v>
      </c>
      <c r="L227" s="594">
        <f t="shared" si="280"/>
        <v>3.1</v>
      </c>
      <c r="M227" s="595">
        <f t="shared" si="281"/>
        <v>1.1500000000000001</v>
      </c>
      <c r="N227" s="600">
        <f t="shared" si="282"/>
        <v>1.6</v>
      </c>
      <c r="O227" s="601">
        <f t="shared" si="295"/>
        <v>5.85</v>
      </c>
      <c r="P227" s="602">
        <f>MROUND(1/$J227*IF(K227="Petrol",Aannames!$F$65,$E$297),0.05)</f>
        <v>2.1</v>
      </c>
      <c r="Q227" s="594">
        <f t="shared" si="284"/>
        <v>1.7000000000000002</v>
      </c>
      <c r="R227" s="600">
        <f t="shared" si="296"/>
        <v>0.65</v>
      </c>
      <c r="S227" s="601">
        <f t="shared" si="297"/>
        <v>4.45</v>
      </c>
      <c r="T227" s="598">
        <f t="shared" si="298"/>
        <v>8.2000000000000011</v>
      </c>
      <c r="U227" s="599">
        <f t="shared" si="299"/>
        <v>10.3</v>
      </c>
      <c r="V227" s="597"/>
      <c r="W227" s="603">
        <f t="shared" si="289"/>
        <v>5.9087500000000008E-2</v>
      </c>
      <c r="X227" s="594">
        <f t="shared" si="300"/>
        <v>0.17</v>
      </c>
      <c r="Y227" s="600">
        <f t="shared" si="291"/>
        <v>0.40290874999999998</v>
      </c>
      <c r="Z227" s="604">
        <f t="shared" si="301"/>
        <v>0.63199625000000004</v>
      </c>
      <c r="AB227" s="78" t="str">
        <f>Aannames!$C$198</f>
        <v>265  R 16</v>
      </c>
      <c r="AC227" s="772">
        <v>5</v>
      </c>
      <c r="AD227" s="80">
        <f t="shared" si="293"/>
        <v>3.4000000000000002E-2</v>
      </c>
    </row>
    <row r="228" spans="1:30">
      <c r="A228" s="310">
        <f t="shared" si="90"/>
        <v>228</v>
      </c>
      <c r="C228" s="86"/>
      <c r="D228" s="16" t="s">
        <v>1160</v>
      </c>
      <c r="E228" s="678">
        <v>586800</v>
      </c>
      <c r="F228" s="12">
        <v>160000</v>
      </c>
      <c r="G228" s="12">
        <v>20000</v>
      </c>
      <c r="H228" s="12">
        <v>50</v>
      </c>
      <c r="I228" s="576">
        <v>13.1</v>
      </c>
      <c r="J228" s="575">
        <f t="shared" si="294"/>
        <v>7.6335877862595423</v>
      </c>
      <c r="K228" s="120" t="s">
        <v>147</v>
      </c>
      <c r="L228" s="594">
        <f t="shared" si="280"/>
        <v>3.3000000000000003</v>
      </c>
      <c r="M228" s="595">
        <f t="shared" si="281"/>
        <v>1.2000000000000002</v>
      </c>
      <c r="N228" s="600">
        <f t="shared" si="282"/>
        <v>1.7000000000000002</v>
      </c>
      <c r="O228" s="601">
        <f t="shared" si="295"/>
        <v>6.2</v>
      </c>
      <c r="P228" s="602">
        <f>MROUND(1/$J228*IF(K228="Petrol",Aannames!$F$65,$E$297),0.05)</f>
        <v>1.6</v>
      </c>
      <c r="Q228" s="594">
        <f t="shared" si="284"/>
        <v>1.85</v>
      </c>
      <c r="R228" s="600">
        <f t="shared" si="296"/>
        <v>0.60000000000000009</v>
      </c>
      <c r="S228" s="601">
        <f t="shared" si="297"/>
        <v>4.0500000000000007</v>
      </c>
      <c r="T228" s="598">
        <f t="shared" si="298"/>
        <v>8.65</v>
      </c>
      <c r="U228" s="599">
        <f t="shared" si="299"/>
        <v>10.25</v>
      </c>
      <c r="V228" s="597"/>
      <c r="W228" s="603">
        <f t="shared" si="289"/>
        <v>4.7487500000000002E-2</v>
      </c>
      <c r="X228" s="594">
        <f t="shared" si="300"/>
        <v>0.17</v>
      </c>
      <c r="Y228" s="600">
        <f t="shared" si="291"/>
        <v>0.36674875000000001</v>
      </c>
      <c r="Z228" s="604">
        <f t="shared" si="301"/>
        <v>0.58423625000000001</v>
      </c>
      <c r="AB228" s="78" t="str">
        <f>Aannames!$C$198</f>
        <v>265  R 16</v>
      </c>
      <c r="AC228" s="772">
        <v>5</v>
      </c>
      <c r="AD228" s="80">
        <f t="shared" si="293"/>
        <v>3.4000000000000002E-2</v>
      </c>
    </row>
    <row r="229" spans="1:30">
      <c r="A229" s="310">
        <f t="shared" si="90"/>
        <v>229</v>
      </c>
      <c r="C229" s="86"/>
      <c r="D229" s="16" t="s">
        <v>1161</v>
      </c>
      <c r="E229" s="678">
        <v>671400</v>
      </c>
      <c r="F229" s="12">
        <v>160000</v>
      </c>
      <c r="G229" s="12">
        <v>20000</v>
      </c>
      <c r="H229" s="12">
        <v>50</v>
      </c>
      <c r="I229" s="576">
        <v>13.9</v>
      </c>
      <c r="J229" s="575">
        <f t="shared" si="294"/>
        <v>7.1942446043165464</v>
      </c>
      <c r="K229" s="120" t="s">
        <v>147</v>
      </c>
      <c r="L229" s="594">
        <f t="shared" si="280"/>
        <v>3.8000000000000003</v>
      </c>
      <c r="M229" s="595">
        <f t="shared" si="281"/>
        <v>1.4000000000000001</v>
      </c>
      <c r="N229" s="600">
        <f t="shared" si="282"/>
        <v>1.9500000000000002</v>
      </c>
      <c r="O229" s="601">
        <f t="shared" si="295"/>
        <v>7.15</v>
      </c>
      <c r="P229" s="602">
        <f>MROUND(1/$J229*IF(K229="Petrol",Aannames!$F$65,$E$297),0.05)</f>
        <v>1.7000000000000002</v>
      </c>
      <c r="Q229" s="594">
        <f t="shared" si="284"/>
        <v>2.1</v>
      </c>
      <c r="R229" s="600">
        <f t="shared" si="296"/>
        <v>0.60000000000000009</v>
      </c>
      <c r="S229" s="601">
        <f t="shared" si="297"/>
        <v>4.4000000000000004</v>
      </c>
      <c r="T229" s="598">
        <f t="shared" si="298"/>
        <v>9.8500000000000014</v>
      </c>
      <c r="U229" s="599">
        <f t="shared" si="299"/>
        <v>11.55</v>
      </c>
      <c r="V229" s="597"/>
      <c r="W229" s="603">
        <f t="shared" si="289"/>
        <v>5.0387500000000009E-2</v>
      </c>
      <c r="X229" s="594">
        <f t="shared" si="300"/>
        <v>0.17</v>
      </c>
      <c r="Y229" s="600">
        <f t="shared" si="291"/>
        <v>0.40203874999999994</v>
      </c>
      <c r="Z229" s="604">
        <f t="shared" si="301"/>
        <v>0.62242624999999996</v>
      </c>
      <c r="AB229" s="78" t="str">
        <f>Aannames!$C$198</f>
        <v>265  R 16</v>
      </c>
      <c r="AC229" s="772">
        <v>5</v>
      </c>
      <c r="AD229" s="80">
        <f t="shared" si="293"/>
        <v>3.4000000000000002E-2</v>
      </c>
    </row>
    <row r="230" spans="1:30">
      <c r="A230" s="310">
        <f t="shared" si="90"/>
        <v>230</v>
      </c>
      <c r="C230" s="86"/>
      <c r="D230" s="16" t="s">
        <v>1162</v>
      </c>
      <c r="E230" s="678">
        <v>623800</v>
      </c>
      <c r="F230" s="12">
        <v>160000</v>
      </c>
      <c r="G230" s="12">
        <v>20000</v>
      </c>
      <c r="H230" s="12">
        <v>50</v>
      </c>
      <c r="I230" s="576">
        <v>16.3</v>
      </c>
      <c r="J230" s="575">
        <f t="shared" si="294"/>
        <v>6.1349693251533743</v>
      </c>
      <c r="K230" s="120" t="s">
        <v>1157</v>
      </c>
      <c r="L230" s="594">
        <f t="shared" si="280"/>
        <v>3.5</v>
      </c>
      <c r="M230" s="595">
        <f t="shared" si="281"/>
        <v>1.3</v>
      </c>
      <c r="N230" s="600">
        <f t="shared" si="282"/>
        <v>1.8</v>
      </c>
      <c r="O230" s="601">
        <f t="shared" si="295"/>
        <v>6.6</v>
      </c>
      <c r="P230" s="602">
        <f>MROUND(1/$J230*IF(K230="Petrol",Aannames!$F$65,$E$297),0.05)</f>
        <v>2.1</v>
      </c>
      <c r="Q230" s="594">
        <f t="shared" si="284"/>
        <v>1.9500000000000002</v>
      </c>
      <c r="R230" s="600">
        <f t="shared" si="296"/>
        <v>0.65</v>
      </c>
      <c r="S230" s="601">
        <f t="shared" si="297"/>
        <v>4.7000000000000011</v>
      </c>
      <c r="T230" s="598">
        <f t="shared" si="298"/>
        <v>9.2000000000000011</v>
      </c>
      <c r="U230" s="599">
        <f t="shared" si="299"/>
        <v>11.3</v>
      </c>
      <c r="V230" s="597"/>
      <c r="W230" s="603">
        <f t="shared" si="289"/>
        <v>5.9087500000000008E-2</v>
      </c>
      <c r="X230" s="594">
        <f t="shared" si="300"/>
        <v>0.17</v>
      </c>
      <c r="Y230" s="600">
        <f t="shared" si="291"/>
        <v>0.42790875000000012</v>
      </c>
      <c r="Z230" s="604">
        <f t="shared" si="301"/>
        <v>0.65699625000000017</v>
      </c>
      <c r="AB230" s="78" t="str">
        <f>Aannames!$C$198</f>
        <v>265  R 16</v>
      </c>
      <c r="AC230" s="772">
        <v>5</v>
      </c>
      <c r="AD230" s="80">
        <f t="shared" si="293"/>
        <v>3.4000000000000002E-2</v>
      </c>
    </row>
    <row r="231" spans="1:30">
      <c r="A231" s="310">
        <f t="shared" si="90"/>
        <v>231</v>
      </c>
      <c r="C231" s="86"/>
      <c r="D231" s="16" t="s">
        <v>1482</v>
      </c>
      <c r="E231" s="678">
        <v>654300</v>
      </c>
      <c r="F231" s="12">
        <v>160000</v>
      </c>
      <c r="G231" s="12">
        <v>20000</v>
      </c>
      <c r="H231" s="12">
        <v>50</v>
      </c>
      <c r="I231" s="576">
        <v>15.6</v>
      </c>
      <c r="J231" s="575">
        <f t="shared" si="294"/>
        <v>6.4102564102564106</v>
      </c>
      <c r="K231" s="120" t="s">
        <v>147</v>
      </c>
      <c r="L231" s="594">
        <f t="shared" si="280"/>
        <v>3.7</v>
      </c>
      <c r="M231" s="595">
        <f t="shared" si="281"/>
        <v>1.35</v>
      </c>
      <c r="N231" s="600">
        <f t="shared" si="282"/>
        <v>1.9000000000000001</v>
      </c>
      <c r="O231" s="601">
        <f t="shared" si="295"/>
        <v>6.9500000000000011</v>
      </c>
      <c r="P231" s="602">
        <f>MROUND(1/$J231*IF(K231="Petrol",Aannames!$F$65,$E$297),0.05)</f>
        <v>1.9000000000000001</v>
      </c>
      <c r="Q231" s="594">
        <f t="shared" si="284"/>
        <v>2.0500000000000003</v>
      </c>
      <c r="R231" s="600">
        <f t="shared" si="296"/>
        <v>0.65</v>
      </c>
      <c r="S231" s="601">
        <f t="shared" si="297"/>
        <v>4.6000000000000005</v>
      </c>
      <c r="T231" s="598">
        <f t="shared" si="298"/>
        <v>9.65</v>
      </c>
      <c r="U231" s="599">
        <f t="shared" si="299"/>
        <v>11.55</v>
      </c>
      <c r="V231" s="597"/>
      <c r="W231" s="603">
        <f t="shared" si="289"/>
        <v>5.6549999999999996E-2</v>
      </c>
      <c r="X231" s="594">
        <f t="shared" si="300"/>
        <v>0.17</v>
      </c>
      <c r="Y231" s="600">
        <f t="shared" si="291"/>
        <v>0.41765499999999994</v>
      </c>
      <c r="Z231" s="604">
        <f t="shared" si="301"/>
        <v>0.64420499999999992</v>
      </c>
      <c r="AB231" s="78" t="str">
        <f>Aannames!$C$198</f>
        <v>265  R 16</v>
      </c>
      <c r="AC231" s="772">
        <v>5</v>
      </c>
      <c r="AD231" s="80">
        <f t="shared" si="293"/>
        <v>3.4000000000000002E-2</v>
      </c>
    </row>
    <row r="232" spans="1:30">
      <c r="A232" s="310">
        <f t="shared" si="90"/>
        <v>232</v>
      </c>
      <c r="C232" s="86"/>
      <c r="D232" s="16" t="s">
        <v>1483</v>
      </c>
      <c r="E232" s="678">
        <v>734800</v>
      </c>
      <c r="F232" s="12">
        <v>160000</v>
      </c>
      <c r="G232" s="12">
        <v>20000</v>
      </c>
      <c r="H232" s="12">
        <v>50</v>
      </c>
      <c r="I232" s="576">
        <v>13.9</v>
      </c>
      <c r="J232" s="575">
        <f t="shared" si="294"/>
        <v>7.1942446043165464</v>
      </c>
      <c r="K232" s="120" t="s">
        <v>147</v>
      </c>
      <c r="L232" s="594">
        <f t="shared" si="280"/>
        <v>4.1500000000000004</v>
      </c>
      <c r="M232" s="595">
        <f t="shared" si="281"/>
        <v>1.5</v>
      </c>
      <c r="N232" s="600">
        <f t="shared" si="282"/>
        <v>2.1</v>
      </c>
      <c r="O232" s="601">
        <f t="shared" si="295"/>
        <v>7.75</v>
      </c>
      <c r="P232" s="602">
        <f>MROUND(1/$J232*IF(K232="Petrol",Aannames!$F$65,$E$297),0.05)</f>
        <v>1.7000000000000002</v>
      </c>
      <c r="Q232" s="594">
        <f t="shared" si="284"/>
        <v>2.3000000000000003</v>
      </c>
      <c r="R232" s="600">
        <f t="shared" si="296"/>
        <v>0.65</v>
      </c>
      <c r="S232" s="601">
        <f t="shared" si="297"/>
        <v>4.6500000000000004</v>
      </c>
      <c r="T232" s="598">
        <f t="shared" si="298"/>
        <v>10.7</v>
      </c>
      <c r="U232" s="599">
        <f t="shared" si="299"/>
        <v>12.4</v>
      </c>
      <c r="V232" s="597"/>
      <c r="W232" s="603">
        <f t="shared" si="289"/>
        <v>5.0387500000000009E-2</v>
      </c>
      <c r="X232" s="594">
        <f t="shared" si="300"/>
        <v>0.17</v>
      </c>
      <c r="Y232" s="600">
        <f t="shared" si="291"/>
        <v>0.42203875000000002</v>
      </c>
      <c r="Z232" s="604">
        <f t="shared" si="301"/>
        <v>0.64242624999999998</v>
      </c>
      <c r="AB232" s="78" t="str">
        <f>Aannames!$C$198</f>
        <v>265  R 16</v>
      </c>
      <c r="AC232" s="772">
        <v>5</v>
      </c>
      <c r="AD232" s="80">
        <f t="shared" si="293"/>
        <v>3.4000000000000002E-2</v>
      </c>
    </row>
    <row r="233" spans="1:30">
      <c r="A233" s="310">
        <f t="shared" si="90"/>
        <v>233</v>
      </c>
      <c r="C233" s="86"/>
      <c r="D233" s="16" t="s">
        <v>1484</v>
      </c>
      <c r="E233" s="678">
        <v>751400</v>
      </c>
      <c r="F233" s="12">
        <v>160000</v>
      </c>
      <c r="G233" s="12">
        <v>20000</v>
      </c>
      <c r="H233" s="12">
        <v>50</v>
      </c>
      <c r="I233" s="576">
        <v>13.9</v>
      </c>
      <c r="J233" s="575">
        <f t="shared" si="294"/>
        <v>7.1942446043165464</v>
      </c>
      <c r="K233" s="120" t="s">
        <v>147</v>
      </c>
      <c r="L233" s="594">
        <f t="shared" si="280"/>
        <v>4.25</v>
      </c>
      <c r="M233" s="595">
        <f t="shared" si="281"/>
        <v>1.55</v>
      </c>
      <c r="N233" s="600">
        <f t="shared" si="282"/>
        <v>2.15</v>
      </c>
      <c r="O233" s="601">
        <f t="shared" si="295"/>
        <v>7.9499999999999993</v>
      </c>
      <c r="P233" s="602">
        <f>MROUND(1/$J233*IF(K233="Petrol",Aannames!$F$65,$E$297),0.05)</f>
        <v>1.7000000000000002</v>
      </c>
      <c r="Q233" s="594">
        <f t="shared" si="284"/>
        <v>2.35</v>
      </c>
      <c r="R233" s="600">
        <f t="shared" si="296"/>
        <v>0.65</v>
      </c>
      <c r="S233" s="601">
        <f t="shared" si="297"/>
        <v>4.7000000000000011</v>
      </c>
      <c r="T233" s="598">
        <f t="shared" si="298"/>
        <v>10.95</v>
      </c>
      <c r="U233" s="599">
        <f t="shared" si="299"/>
        <v>12.65</v>
      </c>
      <c r="V233" s="597"/>
      <c r="W233" s="603">
        <f t="shared" si="289"/>
        <v>5.0387500000000009E-2</v>
      </c>
      <c r="X233" s="594">
        <f t="shared" si="300"/>
        <v>0.17</v>
      </c>
      <c r="Y233" s="600">
        <f t="shared" si="291"/>
        <v>0.42703875000000013</v>
      </c>
      <c r="Z233" s="604">
        <f t="shared" si="301"/>
        <v>0.64742625000000009</v>
      </c>
      <c r="AB233" s="78" t="str">
        <f>Aannames!$C$198</f>
        <v>265  R 16</v>
      </c>
      <c r="AC233" s="772">
        <v>5</v>
      </c>
      <c r="AD233" s="80">
        <f t="shared" si="293"/>
        <v>3.4000000000000002E-2</v>
      </c>
    </row>
    <row r="234" spans="1:30" ht="6.75" customHeight="1">
      <c r="A234" s="310" t="str">
        <f>IF(ISNUMBER(E234),ROW(),"")</f>
        <v/>
      </c>
      <c r="C234" s="87"/>
      <c r="D234" s="88"/>
      <c r="E234" s="563"/>
      <c r="F234" s="35"/>
      <c r="G234" s="35"/>
      <c r="H234" s="35"/>
      <c r="I234" s="577"/>
      <c r="J234" s="577"/>
      <c r="K234" s="121"/>
      <c r="L234" s="605"/>
      <c r="M234" s="606"/>
      <c r="N234" s="605"/>
      <c r="O234" s="607"/>
      <c r="P234" s="845"/>
      <c r="Q234" s="605"/>
      <c r="R234" s="605"/>
      <c r="S234" s="607"/>
      <c r="T234" s="608"/>
      <c r="U234" s="609"/>
      <c r="V234" s="597"/>
      <c r="W234" s="610"/>
      <c r="X234" s="611"/>
      <c r="Y234" s="612"/>
      <c r="Z234" s="613"/>
      <c r="AC234" s="772"/>
    </row>
    <row r="235" spans="1:30">
      <c r="A235" s="310"/>
      <c r="B235" s="310"/>
      <c r="C235" s="310"/>
      <c r="D235" s="310"/>
      <c r="E235" s="564"/>
      <c r="F235" s="310"/>
      <c r="G235" s="310"/>
      <c r="H235" s="310"/>
      <c r="I235" s="564"/>
      <c r="J235" s="564"/>
      <c r="K235" s="114"/>
      <c r="L235" s="174"/>
      <c r="M235" s="174"/>
      <c r="N235" s="174"/>
      <c r="O235" s="174"/>
      <c r="P235" s="174"/>
      <c r="Q235" s="174"/>
      <c r="R235" s="174"/>
      <c r="S235" s="174"/>
      <c r="T235" s="614"/>
      <c r="U235" s="174"/>
      <c r="V235" s="174"/>
      <c r="W235" s="174"/>
      <c r="X235" s="174"/>
      <c r="Y235" s="174"/>
      <c r="Z235" s="615"/>
      <c r="AA235" s="310"/>
      <c r="AC235" s="772"/>
    </row>
    <row r="236" spans="1:30" ht="6.75" customHeight="1">
      <c r="A236" s="310" t="str">
        <f>IF(ISNUMBER(E236),ROW(),"")</f>
        <v/>
      </c>
      <c r="B236" s="69"/>
      <c r="C236" s="956"/>
      <c r="D236" s="957"/>
      <c r="E236" s="958"/>
      <c r="F236" s="959"/>
      <c r="G236" s="959"/>
      <c r="H236" s="959"/>
      <c r="I236" s="960"/>
      <c r="J236" s="960"/>
      <c r="K236" s="961"/>
      <c r="L236" s="962"/>
      <c r="M236" s="962"/>
      <c r="N236" s="962"/>
      <c r="O236" s="962"/>
      <c r="P236" s="962"/>
      <c r="Q236" s="962"/>
      <c r="R236" s="962"/>
      <c r="S236" s="962"/>
      <c r="T236" s="963"/>
      <c r="U236" s="964"/>
      <c r="V236" s="587"/>
      <c r="W236" s="965"/>
      <c r="X236" s="962"/>
      <c r="Y236" s="962"/>
      <c r="Z236" s="966"/>
      <c r="AA236" s="69"/>
      <c r="AB236" s="81"/>
      <c r="AC236" s="82"/>
      <c r="AD236" s="83"/>
    </row>
    <row r="237" spans="1:30" ht="15.75">
      <c r="A237" s="310" t="str">
        <f t="shared" ref="A237:A254" si="302">IF(ISNUMBER(E237),ROW(),"")</f>
        <v/>
      </c>
      <c r="C237" s="791" t="s">
        <v>1163</v>
      </c>
      <c r="D237" s="69"/>
      <c r="E237" s="678"/>
      <c r="F237" s="12"/>
      <c r="G237" s="12"/>
      <c r="H237" s="12"/>
      <c r="I237" s="576"/>
      <c r="J237" s="575"/>
      <c r="K237" s="120"/>
      <c r="L237" s="594"/>
      <c r="M237" s="595"/>
      <c r="N237" s="600"/>
      <c r="O237" s="601"/>
      <c r="P237" s="602"/>
      <c r="Q237" s="594"/>
      <c r="R237" s="600"/>
      <c r="S237" s="601"/>
      <c r="T237" s="598"/>
      <c r="U237" s="599"/>
      <c r="V237" s="597"/>
      <c r="W237" s="603"/>
      <c r="X237" s="594"/>
      <c r="Y237" s="600"/>
      <c r="Z237" s="604"/>
      <c r="AC237" s="772"/>
    </row>
    <row r="238" spans="1:30">
      <c r="A238" s="310">
        <f t="shared" si="302"/>
        <v>238</v>
      </c>
      <c r="C238" s="86"/>
      <c r="D238" s="16" t="s">
        <v>1164</v>
      </c>
      <c r="E238" s="678">
        <v>304800</v>
      </c>
      <c r="F238" s="12">
        <v>160000</v>
      </c>
      <c r="G238" s="12">
        <v>20000</v>
      </c>
      <c r="H238" s="12">
        <v>50</v>
      </c>
      <c r="I238" s="576">
        <v>9.1</v>
      </c>
      <c r="J238" s="575">
        <f t="shared" ref="J238:J244" si="303">100/I238</f>
        <v>10.989010989010989</v>
      </c>
      <c r="K238" s="120" t="s">
        <v>147</v>
      </c>
      <c r="L238" s="594">
        <f t="shared" ref="L238:L254" si="304">MROUND($E238*(1-$E$295/100)/F238,0.05)</f>
        <v>1.7000000000000002</v>
      </c>
      <c r="M238" s="595">
        <f t="shared" ref="M238:M254" si="305">MROUND($E238*(1+$E$295/100)/2*$F$304/100/$G238,0.05)</f>
        <v>0.65</v>
      </c>
      <c r="N238" s="600">
        <f t="shared" ref="N238:N254" si="306">MROUND($E238*(1+$E$295/100)/2*$E$296/100/$G238,0.05)</f>
        <v>0.9</v>
      </c>
      <c r="O238" s="601">
        <f t="shared" ref="O238:O244" si="307">SUM(L238:N238)</f>
        <v>3.25</v>
      </c>
      <c r="P238" s="602">
        <f>MROUND(1/$J238*IF(K238="Petrol",Aannames!$F$65,$E$297),0.05)</f>
        <v>1.1000000000000001</v>
      </c>
      <c r="Q238" s="594">
        <f t="shared" ref="Q238:Q254" si="308">MROUND($E238*$H238/100/$F238,0.05)</f>
        <v>0.95000000000000007</v>
      </c>
      <c r="R238" s="600">
        <f t="shared" ref="R238:R244" si="309">MROUND(SUM(Z238),0.05)</f>
        <v>0.45</v>
      </c>
      <c r="S238" s="601">
        <f t="shared" ref="S238:S244" si="310">SUM(P238:R238)</f>
        <v>2.5000000000000004</v>
      </c>
      <c r="T238" s="598">
        <f t="shared" ref="T238:T244" si="311">U238-P238</f>
        <v>4.6500000000000004</v>
      </c>
      <c r="U238" s="599">
        <f t="shared" ref="U238:U244" si="312">S238+O238</f>
        <v>5.75</v>
      </c>
      <c r="V238" s="597"/>
      <c r="W238" s="603">
        <f t="shared" ref="W238:W254" si="313">1/$J238*$F$314/100*$K$300</f>
        <v>3.2987500000000003E-2</v>
      </c>
      <c r="X238" s="594">
        <f t="shared" ref="X238:X244" si="314">AC238*AD238</f>
        <v>0.17</v>
      </c>
      <c r="Y238" s="600">
        <f t="shared" ref="Y238:Y254" si="315">SUM(P238,Q238,W238,X238)*$F$308/100</f>
        <v>0.22529874999999999</v>
      </c>
      <c r="Z238" s="604">
        <f t="shared" ref="Z238:Z244" si="316">SUM(W238:Y238)</f>
        <v>0.42828624999999998</v>
      </c>
      <c r="AB238" s="78" t="str">
        <f>Aannames!$C$198</f>
        <v>265  R 16</v>
      </c>
      <c r="AC238" s="772">
        <v>5</v>
      </c>
      <c r="AD238" s="80">
        <f t="shared" ref="AD238:AD254" si="317">$I$320</f>
        <v>3.4000000000000002E-2</v>
      </c>
    </row>
    <row r="239" spans="1:30">
      <c r="A239" s="310">
        <f t="shared" si="302"/>
        <v>239</v>
      </c>
      <c r="C239" s="86"/>
      <c r="D239" s="16" t="s">
        <v>1165</v>
      </c>
      <c r="E239" s="678">
        <v>358800</v>
      </c>
      <c r="F239" s="12">
        <v>160000</v>
      </c>
      <c r="G239" s="12">
        <v>20000</v>
      </c>
      <c r="H239" s="12">
        <v>50</v>
      </c>
      <c r="I239" s="576">
        <v>9.1999999999999993</v>
      </c>
      <c r="J239" s="575">
        <f t="shared" si="303"/>
        <v>10.869565217391305</v>
      </c>
      <c r="K239" s="120" t="s">
        <v>147</v>
      </c>
      <c r="L239" s="594">
        <f t="shared" si="304"/>
        <v>2</v>
      </c>
      <c r="M239" s="595">
        <f t="shared" si="305"/>
        <v>0.75</v>
      </c>
      <c r="N239" s="600">
        <f t="shared" si="306"/>
        <v>1.05</v>
      </c>
      <c r="O239" s="601">
        <f t="shared" si="307"/>
        <v>3.8</v>
      </c>
      <c r="P239" s="602">
        <f>MROUND(1/$J239*IF(K239="Petrol",Aannames!$F$65,$E$297),0.05)</f>
        <v>1.1500000000000001</v>
      </c>
      <c r="Q239" s="594">
        <f t="shared" si="308"/>
        <v>1.1000000000000001</v>
      </c>
      <c r="R239" s="600">
        <f t="shared" si="309"/>
        <v>0.45</v>
      </c>
      <c r="S239" s="601">
        <f t="shared" si="310"/>
        <v>2.7</v>
      </c>
      <c r="T239" s="598">
        <f t="shared" si="311"/>
        <v>5.35</v>
      </c>
      <c r="U239" s="599">
        <f t="shared" si="312"/>
        <v>6.5</v>
      </c>
      <c r="V239" s="597"/>
      <c r="W239" s="603">
        <f t="shared" si="313"/>
        <v>3.3349999999999998E-2</v>
      </c>
      <c r="X239" s="594">
        <f t="shared" si="314"/>
        <v>0.17</v>
      </c>
      <c r="Y239" s="600">
        <f t="shared" si="315"/>
        <v>0.245335</v>
      </c>
      <c r="Z239" s="604">
        <f t="shared" si="316"/>
        <v>0.448685</v>
      </c>
      <c r="AB239" s="78" t="str">
        <f>Aannames!$C$198</f>
        <v>265  R 16</v>
      </c>
      <c r="AC239" s="772">
        <v>5</v>
      </c>
      <c r="AD239" s="80">
        <f t="shared" si="317"/>
        <v>3.4000000000000002E-2</v>
      </c>
    </row>
    <row r="240" spans="1:30">
      <c r="A240" s="310">
        <f t="shared" si="302"/>
        <v>240</v>
      </c>
      <c r="C240" s="86"/>
      <c r="D240" s="16" t="s">
        <v>1166</v>
      </c>
      <c r="E240" s="678">
        <v>386200</v>
      </c>
      <c r="F240" s="12">
        <v>160000</v>
      </c>
      <c r="G240" s="12">
        <v>20000</v>
      </c>
      <c r="H240" s="12">
        <v>50</v>
      </c>
      <c r="I240" s="576">
        <v>9.1</v>
      </c>
      <c r="J240" s="575">
        <f t="shared" si="303"/>
        <v>10.989010989010989</v>
      </c>
      <c r="K240" s="120" t="s">
        <v>147</v>
      </c>
      <c r="L240" s="594">
        <f t="shared" si="304"/>
        <v>2.15</v>
      </c>
      <c r="M240" s="595">
        <f t="shared" si="305"/>
        <v>0.8</v>
      </c>
      <c r="N240" s="600">
        <f t="shared" si="306"/>
        <v>1.1000000000000001</v>
      </c>
      <c r="O240" s="601">
        <f t="shared" si="307"/>
        <v>4.0500000000000007</v>
      </c>
      <c r="P240" s="602">
        <f>MROUND(1/$J240*IF(K240="Petrol",Aannames!$F$65,$E$297),0.05)</f>
        <v>1.1000000000000001</v>
      </c>
      <c r="Q240" s="594">
        <f t="shared" si="308"/>
        <v>1.2000000000000002</v>
      </c>
      <c r="R240" s="600">
        <f t="shared" si="309"/>
        <v>0.45</v>
      </c>
      <c r="S240" s="601">
        <f t="shared" si="310"/>
        <v>2.7500000000000004</v>
      </c>
      <c r="T240" s="598">
        <f t="shared" si="311"/>
        <v>5.7000000000000011</v>
      </c>
      <c r="U240" s="599">
        <f t="shared" si="312"/>
        <v>6.8000000000000007</v>
      </c>
      <c r="V240" s="597"/>
      <c r="W240" s="603">
        <f t="shared" si="313"/>
        <v>3.2987500000000003E-2</v>
      </c>
      <c r="X240" s="594">
        <f t="shared" si="314"/>
        <v>0.17</v>
      </c>
      <c r="Y240" s="600">
        <f t="shared" si="315"/>
        <v>0.25029875000000001</v>
      </c>
      <c r="Z240" s="604">
        <f t="shared" si="316"/>
        <v>0.45328625</v>
      </c>
      <c r="AB240" s="78" t="str">
        <f>Aannames!$C$198</f>
        <v>265  R 16</v>
      </c>
      <c r="AC240" s="772">
        <v>5</v>
      </c>
      <c r="AD240" s="80">
        <f t="shared" si="317"/>
        <v>3.4000000000000002E-2</v>
      </c>
    </row>
    <row r="241" spans="1:30">
      <c r="A241" s="310">
        <f t="shared" si="302"/>
        <v>241</v>
      </c>
      <c r="C241" s="86"/>
      <c r="D241" s="16" t="s">
        <v>1191</v>
      </c>
      <c r="E241" s="678">
        <v>424400</v>
      </c>
      <c r="F241" s="12">
        <v>160000</v>
      </c>
      <c r="G241" s="12">
        <v>20000</v>
      </c>
      <c r="H241" s="12">
        <v>50</v>
      </c>
      <c r="I241" s="576">
        <v>9.5</v>
      </c>
      <c r="J241" s="575">
        <f t="shared" si="303"/>
        <v>10.526315789473685</v>
      </c>
      <c r="K241" s="120" t="s">
        <v>147</v>
      </c>
      <c r="L241" s="594">
        <f t="shared" si="304"/>
        <v>2.4000000000000004</v>
      </c>
      <c r="M241" s="595">
        <f t="shared" si="305"/>
        <v>0.9</v>
      </c>
      <c r="N241" s="600">
        <f t="shared" si="306"/>
        <v>1.25</v>
      </c>
      <c r="O241" s="601">
        <f t="shared" si="307"/>
        <v>4.5500000000000007</v>
      </c>
      <c r="P241" s="602">
        <f>MROUND(1/$J241*IF(K241="Petrol",Aannames!$F$65,$E$297),0.05)</f>
        <v>1.1500000000000001</v>
      </c>
      <c r="Q241" s="594">
        <f t="shared" si="308"/>
        <v>1.35</v>
      </c>
      <c r="R241" s="600">
        <f t="shared" si="309"/>
        <v>0.45</v>
      </c>
      <c r="S241" s="601">
        <f t="shared" si="310"/>
        <v>2.95</v>
      </c>
      <c r="T241" s="598">
        <f t="shared" si="311"/>
        <v>6.3500000000000005</v>
      </c>
      <c r="U241" s="599">
        <f t="shared" si="312"/>
        <v>7.5000000000000009</v>
      </c>
      <c r="V241" s="597"/>
      <c r="W241" s="603">
        <f t="shared" si="313"/>
        <v>3.4437499999999996E-2</v>
      </c>
      <c r="X241" s="594">
        <f t="shared" si="314"/>
        <v>0.17</v>
      </c>
      <c r="Y241" s="600">
        <f t="shared" si="315"/>
        <v>0.27044375000000004</v>
      </c>
      <c r="Z241" s="604">
        <f t="shared" si="316"/>
        <v>0.47488125000000003</v>
      </c>
      <c r="AB241" s="78" t="str">
        <f>Aannames!$C$198</f>
        <v>265  R 16</v>
      </c>
      <c r="AC241" s="772">
        <v>5</v>
      </c>
      <c r="AD241" s="80">
        <f t="shared" si="317"/>
        <v>3.4000000000000002E-2</v>
      </c>
    </row>
    <row r="242" spans="1:30">
      <c r="A242" s="310">
        <f t="shared" si="302"/>
        <v>242</v>
      </c>
      <c r="C242" s="86"/>
      <c r="D242" s="16" t="s">
        <v>1485</v>
      </c>
      <c r="E242" s="678">
        <v>438800</v>
      </c>
      <c r="F242" s="12">
        <v>160000</v>
      </c>
      <c r="G242" s="12">
        <v>20000</v>
      </c>
      <c r="H242" s="12">
        <v>50</v>
      </c>
      <c r="I242" s="576">
        <v>9.1999999999999993</v>
      </c>
      <c r="J242" s="575">
        <f t="shared" si="303"/>
        <v>10.869565217391305</v>
      </c>
      <c r="K242" s="120" t="s">
        <v>147</v>
      </c>
      <c r="L242" s="594">
        <f t="shared" si="304"/>
        <v>2.4500000000000002</v>
      </c>
      <c r="M242" s="595">
        <f t="shared" si="305"/>
        <v>0.9</v>
      </c>
      <c r="N242" s="600">
        <f t="shared" si="306"/>
        <v>1.25</v>
      </c>
      <c r="O242" s="601">
        <f t="shared" si="307"/>
        <v>4.5999999999999996</v>
      </c>
      <c r="P242" s="602">
        <f>MROUND(1/$J242*IF(K242="Petrol",Aannames!$F$65,$E$297),0.05)</f>
        <v>1.1500000000000001</v>
      </c>
      <c r="Q242" s="594">
        <f t="shared" si="308"/>
        <v>1.35</v>
      </c>
      <c r="R242" s="600">
        <f t="shared" si="309"/>
        <v>0.45</v>
      </c>
      <c r="S242" s="601">
        <f t="shared" si="310"/>
        <v>2.95</v>
      </c>
      <c r="T242" s="598">
        <f t="shared" si="311"/>
        <v>6.3999999999999995</v>
      </c>
      <c r="U242" s="599">
        <f t="shared" si="312"/>
        <v>7.55</v>
      </c>
      <c r="V242" s="597"/>
      <c r="W242" s="603">
        <f t="shared" si="313"/>
        <v>3.3349999999999998E-2</v>
      </c>
      <c r="X242" s="594">
        <f t="shared" si="314"/>
        <v>0.17</v>
      </c>
      <c r="Y242" s="600">
        <f t="shared" si="315"/>
        <v>0.27033499999999999</v>
      </c>
      <c r="Z242" s="604">
        <f t="shared" si="316"/>
        <v>0.47368500000000002</v>
      </c>
      <c r="AB242" s="78" t="str">
        <f>Aannames!$C$198</f>
        <v>265  R 16</v>
      </c>
      <c r="AC242" s="772">
        <v>5</v>
      </c>
      <c r="AD242" s="80">
        <f t="shared" si="317"/>
        <v>3.4000000000000002E-2</v>
      </c>
    </row>
    <row r="243" spans="1:30">
      <c r="A243" s="310">
        <f t="shared" si="302"/>
        <v>243</v>
      </c>
      <c r="C243" s="86"/>
      <c r="D243" s="16" t="s">
        <v>1167</v>
      </c>
      <c r="E243" s="678">
        <v>474400</v>
      </c>
      <c r="F243" s="12">
        <v>160000</v>
      </c>
      <c r="G243" s="12">
        <v>20000</v>
      </c>
      <c r="H243" s="12">
        <v>50</v>
      </c>
      <c r="I243" s="576">
        <v>9.6</v>
      </c>
      <c r="J243" s="575">
        <f t="shared" si="303"/>
        <v>10.416666666666668</v>
      </c>
      <c r="K243" s="120" t="s">
        <v>147</v>
      </c>
      <c r="L243" s="594">
        <f t="shared" si="304"/>
        <v>2.6500000000000004</v>
      </c>
      <c r="M243" s="595">
        <f t="shared" si="305"/>
        <v>1</v>
      </c>
      <c r="N243" s="600">
        <f t="shared" si="306"/>
        <v>1.35</v>
      </c>
      <c r="O243" s="601">
        <f t="shared" si="307"/>
        <v>5</v>
      </c>
      <c r="P243" s="602">
        <f>MROUND(1/$J243*IF(K243="Petrol",Aannames!$F$65,$E$297),0.05)</f>
        <v>1.2000000000000002</v>
      </c>
      <c r="Q243" s="594">
        <f t="shared" si="308"/>
        <v>1.5</v>
      </c>
      <c r="R243" s="600">
        <f t="shared" si="309"/>
        <v>0.5</v>
      </c>
      <c r="S243" s="601">
        <f t="shared" si="310"/>
        <v>3.2</v>
      </c>
      <c r="T243" s="598">
        <f t="shared" si="311"/>
        <v>6.9999999999999991</v>
      </c>
      <c r="U243" s="599">
        <f t="shared" si="312"/>
        <v>8.1999999999999993</v>
      </c>
      <c r="V243" s="597"/>
      <c r="W243" s="603">
        <f t="shared" si="313"/>
        <v>3.4799999999999998E-2</v>
      </c>
      <c r="X243" s="594">
        <f t="shared" si="314"/>
        <v>0.17</v>
      </c>
      <c r="Y243" s="600">
        <f t="shared" si="315"/>
        <v>0.29048000000000002</v>
      </c>
      <c r="Z243" s="604">
        <f t="shared" si="316"/>
        <v>0.49528000000000005</v>
      </c>
      <c r="AB243" s="78" t="str">
        <f>Aannames!$C$198</f>
        <v>265  R 16</v>
      </c>
      <c r="AC243" s="772">
        <v>5</v>
      </c>
      <c r="AD243" s="80">
        <f t="shared" si="317"/>
        <v>3.4000000000000002E-2</v>
      </c>
    </row>
    <row r="244" spans="1:30">
      <c r="A244" s="310">
        <f t="shared" si="302"/>
        <v>244</v>
      </c>
      <c r="C244" s="86"/>
      <c r="D244" s="16" t="s">
        <v>1486</v>
      </c>
      <c r="E244" s="678">
        <v>484800</v>
      </c>
      <c r="F244" s="12">
        <v>160000</v>
      </c>
      <c r="G244" s="12">
        <v>20000</v>
      </c>
      <c r="H244" s="12">
        <v>50</v>
      </c>
      <c r="I244" s="576">
        <v>9.1</v>
      </c>
      <c r="J244" s="575">
        <f t="shared" si="303"/>
        <v>10.989010989010989</v>
      </c>
      <c r="K244" s="120" t="s">
        <v>147</v>
      </c>
      <c r="L244" s="594">
        <f t="shared" si="304"/>
        <v>2.75</v>
      </c>
      <c r="M244" s="595">
        <f t="shared" si="305"/>
        <v>1</v>
      </c>
      <c r="N244" s="600">
        <f t="shared" si="306"/>
        <v>1.4000000000000001</v>
      </c>
      <c r="O244" s="601">
        <f t="shared" si="307"/>
        <v>5.15</v>
      </c>
      <c r="P244" s="602">
        <f>MROUND(1/$J244*IF(K244="Petrol",Aannames!$F$65,$E$297),0.05)</f>
        <v>1.1000000000000001</v>
      </c>
      <c r="Q244" s="594">
        <f t="shared" si="308"/>
        <v>1.5</v>
      </c>
      <c r="R244" s="600">
        <f t="shared" si="309"/>
        <v>0.5</v>
      </c>
      <c r="S244" s="601">
        <f t="shared" si="310"/>
        <v>3.1</v>
      </c>
      <c r="T244" s="598">
        <f t="shared" si="311"/>
        <v>7.15</v>
      </c>
      <c r="U244" s="599">
        <f t="shared" si="312"/>
        <v>8.25</v>
      </c>
      <c r="V244" s="597"/>
      <c r="W244" s="603">
        <f t="shared" si="313"/>
        <v>3.2987500000000003E-2</v>
      </c>
      <c r="X244" s="594">
        <f t="shared" si="314"/>
        <v>0.17</v>
      </c>
      <c r="Y244" s="600">
        <f t="shared" si="315"/>
        <v>0.28029874999999999</v>
      </c>
      <c r="Z244" s="604">
        <f t="shared" si="316"/>
        <v>0.48328625000000003</v>
      </c>
      <c r="AB244" s="78" t="str">
        <f>Aannames!$C$198</f>
        <v>265  R 16</v>
      </c>
      <c r="AC244" s="772">
        <v>5</v>
      </c>
      <c r="AD244" s="80">
        <f t="shared" si="317"/>
        <v>3.4000000000000002E-2</v>
      </c>
    </row>
    <row r="245" spans="1:30">
      <c r="A245" s="310">
        <f t="shared" ref="A245:A250" si="318">IF(ISNUMBER(E245),ROW(),"")</f>
        <v>245</v>
      </c>
      <c r="C245" s="86"/>
      <c r="D245" s="16" t="s">
        <v>1168</v>
      </c>
      <c r="E245" s="678">
        <v>535800</v>
      </c>
      <c r="F245" s="12">
        <v>160000</v>
      </c>
      <c r="G245" s="12">
        <v>20000</v>
      </c>
      <c r="H245" s="12">
        <v>50</v>
      </c>
      <c r="I245" s="576">
        <v>9.1999999999999993</v>
      </c>
      <c r="J245" s="575">
        <f t="shared" ref="J245:J250" si="319">100/I245</f>
        <v>10.869565217391305</v>
      </c>
      <c r="K245" s="120" t="s">
        <v>147</v>
      </c>
      <c r="L245" s="594">
        <f t="shared" si="304"/>
        <v>3</v>
      </c>
      <c r="M245" s="595">
        <f t="shared" si="305"/>
        <v>1.1000000000000001</v>
      </c>
      <c r="N245" s="600">
        <f t="shared" si="306"/>
        <v>1.55</v>
      </c>
      <c r="O245" s="601">
        <f t="shared" ref="O245:O250" si="320">SUM(L245:N245)</f>
        <v>5.6499999999999995</v>
      </c>
      <c r="P245" s="602">
        <f>MROUND(1/$J245*IF(K245="Petrol",Aannames!$F$65,$E$297),0.05)</f>
        <v>1.1500000000000001</v>
      </c>
      <c r="Q245" s="594">
        <f t="shared" si="308"/>
        <v>1.6500000000000001</v>
      </c>
      <c r="R245" s="600">
        <f t="shared" ref="R245:R250" si="321">MROUND(SUM(Z245),0.05)</f>
        <v>0.5</v>
      </c>
      <c r="S245" s="601">
        <f t="shared" ref="S245:S250" si="322">SUM(P245:R245)</f>
        <v>3.3000000000000003</v>
      </c>
      <c r="T245" s="598">
        <f t="shared" ref="T245:T250" si="323">U245-P245</f>
        <v>7.7999999999999989</v>
      </c>
      <c r="U245" s="599">
        <f t="shared" ref="U245:U250" si="324">S245+O245</f>
        <v>8.9499999999999993</v>
      </c>
      <c r="V245" s="597"/>
      <c r="W245" s="603">
        <f t="shared" si="313"/>
        <v>3.3349999999999998E-2</v>
      </c>
      <c r="X245" s="594">
        <f t="shared" ref="X245:X250" si="325">AC245*AD245</f>
        <v>0.17</v>
      </c>
      <c r="Y245" s="600">
        <f t="shared" si="315"/>
        <v>0.30033500000000002</v>
      </c>
      <c r="Z245" s="604">
        <f t="shared" ref="Z245:Z250" si="326">SUM(W245:Y245)</f>
        <v>0.50368500000000005</v>
      </c>
      <c r="AB245" s="78" t="str">
        <f>Aannames!$C$198</f>
        <v>265  R 16</v>
      </c>
      <c r="AC245" s="772">
        <v>5</v>
      </c>
      <c r="AD245" s="80">
        <f t="shared" si="317"/>
        <v>3.4000000000000002E-2</v>
      </c>
    </row>
    <row r="246" spans="1:30">
      <c r="A246" s="310">
        <f t="shared" si="318"/>
        <v>246</v>
      </c>
      <c r="C246" s="86"/>
      <c r="D246" s="16" t="s">
        <v>1487</v>
      </c>
      <c r="E246" s="678">
        <v>518900</v>
      </c>
      <c r="F246" s="12">
        <v>160000</v>
      </c>
      <c r="G246" s="12">
        <v>20000</v>
      </c>
      <c r="H246" s="12">
        <v>50</v>
      </c>
      <c r="I246" s="576">
        <v>9.48</v>
      </c>
      <c r="J246" s="575">
        <f t="shared" si="319"/>
        <v>10.548523206751055</v>
      </c>
      <c r="K246" s="120" t="s">
        <v>147</v>
      </c>
      <c r="L246" s="594">
        <f t="shared" si="304"/>
        <v>2.9000000000000004</v>
      </c>
      <c r="M246" s="595">
        <f t="shared" si="305"/>
        <v>1.05</v>
      </c>
      <c r="N246" s="600">
        <f t="shared" si="306"/>
        <v>1.5</v>
      </c>
      <c r="O246" s="601">
        <f t="shared" si="320"/>
        <v>5.45</v>
      </c>
      <c r="P246" s="602">
        <f>MROUND(1/$J246*IF(K246="Petrol",Aannames!$F$65,$E$297),0.05)</f>
        <v>1.1500000000000001</v>
      </c>
      <c r="Q246" s="594">
        <f t="shared" si="308"/>
        <v>1.6</v>
      </c>
      <c r="R246" s="600">
        <f t="shared" si="321"/>
        <v>0.5</v>
      </c>
      <c r="S246" s="601">
        <f t="shared" si="322"/>
        <v>3.25</v>
      </c>
      <c r="T246" s="598">
        <f t="shared" si="323"/>
        <v>7.5499999999999989</v>
      </c>
      <c r="U246" s="599">
        <f t="shared" si="324"/>
        <v>8.6999999999999993</v>
      </c>
      <c r="V246" s="597"/>
      <c r="W246" s="603">
        <f t="shared" si="313"/>
        <v>3.4365E-2</v>
      </c>
      <c r="X246" s="594">
        <f t="shared" si="325"/>
        <v>0.17</v>
      </c>
      <c r="Y246" s="600">
        <f t="shared" si="315"/>
        <v>0.29543649999999999</v>
      </c>
      <c r="Z246" s="604">
        <f t="shared" si="326"/>
        <v>0.49980150000000001</v>
      </c>
      <c r="AB246" s="78" t="str">
        <f>Aannames!$C$198</f>
        <v>265  R 16</v>
      </c>
      <c r="AC246" s="772">
        <v>5</v>
      </c>
      <c r="AD246" s="80">
        <f t="shared" si="317"/>
        <v>3.4000000000000002E-2</v>
      </c>
    </row>
    <row r="247" spans="1:30">
      <c r="A247" s="310">
        <f t="shared" si="318"/>
        <v>247</v>
      </c>
      <c r="C247" s="86"/>
      <c r="D247" s="16" t="s">
        <v>1488</v>
      </c>
      <c r="E247" s="678">
        <v>536400</v>
      </c>
      <c r="F247" s="12">
        <v>160000</v>
      </c>
      <c r="G247" s="12">
        <v>20000</v>
      </c>
      <c r="H247" s="12">
        <v>50</v>
      </c>
      <c r="I247" s="576">
        <v>9.8000000000000007</v>
      </c>
      <c r="J247" s="575">
        <f t="shared" si="319"/>
        <v>10.204081632653061</v>
      </c>
      <c r="K247" s="120" t="s">
        <v>147</v>
      </c>
      <c r="L247" s="594">
        <f t="shared" si="304"/>
        <v>3</v>
      </c>
      <c r="M247" s="595">
        <f t="shared" si="305"/>
        <v>1.1000000000000001</v>
      </c>
      <c r="N247" s="600">
        <f t="shared" si="306"/>
        <v>1.55</v>
      </c>
      <c r="O247" s="601">
        <f t="shared" si="320"/>
        <v>5.6499999999999995</v>
      </c>
      <c r="P247" s="602">
        <f>MROUND(1/$J247*IF(K247="Petrol",Aannames!$F$65,$E$297),0.05)</f>
        <v>1.2000000000000002</v>
      </c>
      <c r="Q247" s="594">
        <f t="shared" si="308"/>
        <v>1.7000000000000002</v>
      </c>
      <c r="R247" s="600">
        <f t="shared" si="321"/>
        <v>0.5</v>
      </c>
      <c r="S247" s="601">
        <f t="shared" si="322"/>
        <v>3.4000000000000004</v>
      </c>
      <c r="T247" s="598">
        <f t="shared" si="323"/>
        <v>7.8500000000000005</v>
      </c>
      <c r="U247" s="599">
        <f t="shared" si="324"/>
        <v>9.0500000000000007</v>
      </c>
      <c r="V247" s="597"/>
      <c r="W247" s="603">
        <f t="shared" si="313"/>
        <v>3.5525000000000001E-2</v>
      </c>
      <c r="X247" s="594">
        <f t="shared" si="325"/>
        <v>0.17</v>
      </c>
      <c r="Y247" s="600">
        <f t="shared" si="315"/>
        <v>0.31055250000000001</v>
      </c>
      <c r="Z247" s="604">
        <f t="shared" si="326"/>
        <v>0.51607749999999997</v>
      </c>
      <c r="AB247" s="78" t="str">
        <f>Aannames!$C$198</f>
        <v>265  R 16</v>
      </c>
      <c r="AC247" s="772">
        <v>5</v>
      </c>
      <c r="AD247" s="80">
        <f t="shared" si="317"/>
        <v>3.4000000000000002E-2</v>
      </c>
    </row>
    <row r="248" spans="1:30">
      <c r="A248" s="310">
        <f t="shared" si="318"/>
        <v>248</v>
      </c>
      <c r="C248" s="86"/>
      <c r="D248" s="16" t="s">
        <v>1489</v>
      </c>
      <c r="E248" s="678">
        <v>569900</v>
      </c>
      <c r="F248" s="12">
        <v>160000</v>
      </c>
      <c r="G248" s="12">
        <v>20000</v>
      </c>
      <c r="H248" s="12">
        <v>50</v>
      </c>
      <c r="I248" s="576">
        <v>9.9600000000000009</v>
      </c>
      <c r="J248" s="575">
        <f t="shared" si="319"/>
        <v>10.04016064257028</v>
      </c>
      <c r="K248" s="120" t="s">
        <v>147</v>
      </c>
      <c r="L248" s="594">
        <f t="shared" si="304"/>
        <v>3.2</v>
      </c>
      <c r="M248" s="595">
        <f t="shared" si="305"/>
        <v>1.2000000000000002</v>
      </c>
      <c r="N248" s="600">
        <f t="shared" si="306"/>
        <v>1.6500000000000001</v>
      </c>
      <c r="O248" s="601">
        <f t="shared" si="320"/>
        <v>6.0500000000000007</v>
      </c>
      <c r="P248" s="602">
        <f>MROUND(1/$J248*IF(K248="Petrol",Aannames!$F$65,$E$297),0.05)</f>
        <v>1.25</v>
      </c>
      <c r="Q248" s="594">
        <f t="shared" si="308"/>
        <v>1.8</v>
      </c>
      <c r="R248" s="600">
        <f t="shared" si="321"/>
        <v>0.55000000000000004</v>
      </c>
      <c r="S248" s="601">
        <f t="shared" si="322"/>
        <v>3.5999999999999996</v>
      </c>
      <c r="T248" s="598">
        <f t="shared" si="323"/>
        <v>8.4</v>
      </c>
      <c r="U248" s="599">
        <f t="shared" si="324"/>
        <v>9.65</v>
      </c>
      <c r="V248" s="597"/>
      <c r="W248" s="603">
        <f t="shared" si="313"/>
        <v>3.6105000000000005E-2</v>
      </c>
      <c r="X248" s="594">
        <f t="shared" si="325"/>
        <v>0.17</v>
      </c>
      <c r="Y248" s="600">
        <f t="shared" si="315"/>
        <v>0.32561049999999997</v>
      </c>
      <c r="Z248" s="604">
        <f t="shared" si="326"/>
        <v>0.53171550000000001</v>
      </c>
      <c r="AB248" s="78" t="str">
        <f>Aannames!$C$198</f>
        <v>265  R 16</v>
      </c>
      <c r="AC248" s="772">
        <v>5</v>
      </c>
      <c r="AD248" s="80">
        <f t="shared" si="317"/>
        <v>3.4000000000000002E-2</v>
      </c>
    </row>
    <row r="249" spans="1:30">
      <c r="A249" s="310">
        <f t="shared" si="318"/>
        <v>249</v>
      </c>
      <c r="C249" s="86"/>
      <c r="D249" s="16" t="s">
        <v>1490</v>
      </c>
      <c r="E249" s="678">
        <v>587400</v>
      </c>
      <c r="F249" s="12">
        <v>160000</v>
      </c>
      <c r="G249" s="12">
        <v>20000</v>
      </c>
      <c r="H249" s="12">
        <v>50</v>
      </c>
      <c r="I249" s="576">
        <v>10</v>
      </c>
      <c r="J249" s="575">
        <f t="shared" si="319"/>
        <v>10</v>
      </c>
      <c r="K249" s="120" t="s">
        <v>147</v>
      </c>
      <c r="L249" s="594">
        <f t="shared" si="304"/>
        <v>3.3000000000000003</v>
      </c>
      <c r="M249" s="595">
        <f t="shared" si="305"/>
        <v>1.2000000000000002</v>
      </c>
      <c r="N249" s="600">
        <f t="shared" si="306"/>
        <v>1.7000000000000002</v>
      </c>
      <c r="O249" s="601">
        <f t="shared" si="320"/>
        <v>6.2</v>
      </c>
      <c r="P249" s="602">
        <f>MROUND(1/$J249*IF(K249="Petrol",Aannames!$F$65,$E$297),0.05)</f>
        <v>1.25</v>
      </c>
      <c r="Q249" s="594">
        <f t="shared" si="308"/>
        <v>1.85</v>
      </c>
      <c r="R249" s="600">
        <f t="shared" si="321"/>
        <v>0.55000000000000004</v>
      </c>
      <c r="S249" s="601">
        <f t="shared" si="322"/>
        <v>3.6500000000000004</v>
      </c>
      <c r="T249" s="598">
        <f t="shared" si="323"/>
        <v>8.6000000000000014</v>
      </c>
      <c r="U249" s="599">
        <f t="shared" si="324"/>
        <v>9.8500000000000014</v>
      </c>
      <c r="V249" s="597"/>
      <c r="W249" s="603">
        <f t="shared" si="313"/>
        <v>3.6249999999999998E-2</v>
      </c>
      <c r="X249" s="594">
        <f t="shared" si="325"/>
        <v>0.17</v>
      </c>
      <c r="Y249" s="600">
        <f t="shared" si="315"/>
        <v>0.330625</v>
      </c>
      <c r="Z249" s="604">
        <f t="shared" si="326"/>
        <v>0.53687499999999999</v>
      </c>
      <c r="AB249" s="78" t="str">
        <f>Aannames!$C$198</f>
        <v>265  R 16</v>
      </c>
      <c r="AC249" s="772">
        <v>5</v>
      </c>
      <c r="AD249" s="80">
        <f t="shared" si="317"/>
        <v>3.4000000000000002E-2</v>
      </c>
    </row>
    <row r="250" spans="1:30">
      <c r="A250" s="310">
        <f t="shared" si="318"/>
        <v>250</v>
      </c>
      <c r="C250" s="86"/>
      <c r="D250" s="16" t="s">
        <v>1491</v>
      </c>
      <c r="E250" s="678">
        <v>645900</v>
      </c>
      <c r="F250" s="12">
        <v>160000</v>
      </c>
      <c r="G250" s="12">
        <v>20000</v>
      </c>
      <c r="H250" s="12">
        <v>50</v>
      </c>
      <c r="I250" s="576">
        <v>10</v>
      </c>
      <c r="J250" s="575">
        <f t="shared" si="319"/>
        <v>10</v>
      </c>
      <c r="K250" s="120" t="s">
        <v>147</v>
      </c>
      <c r="L250" s="594">
        <f t="shared" si="304"/>
        <v>3.6500000000000004</v>
      </c>
      <c r="M250" s="595">
        <f t="shared" si="305"/>
        <v>1.35</v>
      </c>
      <c r="N250" s="600">
        <f t="shared" si="306"/>
        <v>1.85</v>
      </c>
      <c r="O250" s="601">
        <f t="shared" si="320"/>
        <v>6.85</v>
      </c>
      <c r="P250" s="602">
        <f>MROUND(1/$J250*IF(K250="Petrol",Aannames!$F$65,$E$297),0.05)</f>
        <v>1.25</v>
      </c>
      <c r="Q250" s="594">
        <f t="shared" si="308"/>
        <v>2</v>
      </c>
      <c r="R250" s="600">
        <f t="shared" si="321"/>
        <v>0.55000000000000004</v>
      </c>
      <c r="S250" s="601">
        <f t="shared" si="322"/>
        <v>3.8</v>
      </c>
      <c r="T250" s="598">
        <f t="shared" si="323"/>
        <v>9.3999999999999986</v>
      </c>
      <c r="U250" s="599">
        <f t="shared" si="324"/>
        <v>10.649999999999999</v>
      </c>
      <c r="V250" s="597"/>
      <c r="W250" s="603">
        <f t="shared" si="313"/>
        <v>3.6249999999999998E-2</v>
      </c>
      <c r="X250" s="594">
        <f t="shared" si="325"/>
        <v>0.17</v>
      </c>
      <c r="Y250" s="600">
        <f t="shared" si="315"/>
        <v>0.34562500000000002</v>
      </c>
      <c r="Z250" s="604">
        <f t="shared" si="326"/>
        <v>0.551875</v>
      </c>
      <c r="AB250" s="78" t="str">
        <f>Aannames!$C$198</f>
        <v>265  R 16</v>
      </c>
      <c r="AC250" s="772">
        <v>5</v>
      </c>
      <c r="AD250" s="80">
        <f t="shared" si="317"/>
        <v>3.4000000000000002E-2</v>
      </c>
    </row>
    <row r="251" spans="1:30">
      <c r="A251" s="310">
        <f t="shared" si="302"/>
        <v>251</v>
      </c>
      <c r="C251" s="86"/>
      <c r="D251" s="16" t="s">
        <v>1492</v>
      </c>
      <c r="E251" s="678">
        <v>327400</v>
      </c>
      <c r="F251" s="12">
        <v>160000</v>
      </c>
      <c r="G251" s="12">
        <v>20000</v>
      </c>
      <c r="H251" s="12">
        <v>50</v>
      </c>
      <c r="I251" s="576">
        <v>9.5</v>
      </c>
      <c r="J251" s="575">
        <f t="shared" ref="J251:J254" si="327">100/I251</f>
        <v>10.526315789473685</v>
      </c>
      <c r="K251" s="120" t="s">
        <v>147</v>
      </c>
      <c r="L251" s="594">
        <f t="shared" si="304"/>
        <v>1.85</v>
      </c>
      <c r="M251" s="595">
        <f t="shared" si="305"/>
        <v>0.70000000000000007</v>
      </c>
      <c r="N251" s="600">
        <f t="shared" si="306"/>
        <v>0.95000000000000007</v>
      </c>
      <c r="O251" s="601">
        <f t="shared" ref="O251:O254" si="328">SUM(L251:N251)</f>
        <v>3.5000000000000004</v>
      </c>
      <c r="P251" s="602">
        <f>MROUND(1/$J251*IF(K251="Petrol",Aannames!$F$65,$E$297),0.05)</f>
        <v>1.1500000000000001</v>
      </c>
      <c r="Q251" s="594">
        <f t="shared" si="308"/>
        <v>1</v>
      </c>
      <c r="R251" s="600">
        <f t="shared" ref="R251:R254" si="329">MROUND(SUM(Z251),0.05)</f>
        <v>0.45</v>
      </c>
      <c r="S251" s="601">
        <f t="shared" ref="S251:S254" si="330">SUM(P251:R251)</f>
        <v>2.6000000000000005</v>
      </c>
      <c r="T251" s="598">
        <f t="shared" ref="T251:T254" si="331">U251-P251</f>
        <v>4.9500000000000011</v>
      </c>
      <c r="U251" s="599">
        <f t="shared" ref="U251:U254" si="332">S251+O251</f>
        <v>6.1000000000000014</v>
      </c>
      <c r="V251" s="597"/>
      <c r="W251" s="603">
        <f t="shared" si="313"/>
        <v>3.4437499999999996E-2</v>
      </c>
      <c r="X251" s="594">
        <f t="shared" ref="X251:X254" si="333">AC251*AD251</f>
        <v>0.17</v>
      </c>
      <c r="Y251" s="600">
        <f t="shared" si="315"/>
        <v>0.23544375000000003</v>
      </c>
      <c r="Z251" s="604">
        <f t="shared" ref="Z251:Z254" si="334">SUM(W251:Y251)</f>
        <v>0.43988125</v>
      </c>
      <c r="AB251" s="78" t="str">
        <f>Aannames!$C$198</f>
        <v>265  R 16</v>
      </c>
      <c r="AC251" s="772">
        <v>5</v>
      </c>
      <c r="AD251" s="80">
        <f t="shared" si="317"/>
        <v>3.4000000000000002E-2</v>
      </c>
    </row>
    <row r="252" spans="1:30">
      <c r="A252" s="310">
        <f t="shared" si="302"/>
        <v>252</v>
      </c>
      <c r="C252" s="86"/>
      <c r="D252" s="16" t="s">
        <v>1493</v>
      </c>
      <c r="E252" s="678">
        <v>366900</v>
      </c>
      <c r="F252" s="12">
        <v>160000</v>
      </c>
      <c r="G252" s="12">
        <v>20000</v>
      </c>
      <c r="H252" s="12">
        <v>50</v>
      </c>
      <c r="I252" s="576">
        <v>9.5</v>
      </c>
      <c r="J252" s="575">
        <f t="shared" si="327"/>
        <v>10.526315789473685</v>
      </c>
      <c r="K252" s="120" t="s">
        <v>147</v>
      </c>
      <c r="L252" s="594">
        <f t="shared" si="304"/>
        <v>2.0500000000000003</v>
      </c>
      <c r="M252" s="595">
        <f t="shared" si="305"/>
        <v>0.75</v>
      </c>
      <c r="N252" s="600">
        <f t="shared" si="306"/>
        <v>1.05</v>
      </c>
      <c r="O252" s="601">
        <f t="shared" si="328"/>
        <v>3.8500000000000005</v>
      </c>
      <c r="P252" s="602">
        <f>MROUND(1/$J252*IF(K252="Petrol",Aannames!$F$65,$E$297),0.05)</f>
        <v>1.1500000000000001</v>
      </c>
      <c r="Q252" s="594">
        <f t="shared" si="308"/>
        <v>1.1500000000000001</v>
      </c>
      <c r="R252" s="600">
        <f t="shared" si="329"/>
        <v>0.45</v>
      </c>
      <c r="S252" s="601">
        <f t="shared" si="330"/>
        <v>2.7500000000000004</v>
      </c>
      <c r="T252" s="598">
        <f t="shared" si="331"/>
        <v>5.4500000000000011</v>
      </c>
      <c r="U252" s="599">
        <f t="shared" si="332"/>
        <v>6.6000000000000014</v>
      </c>
      <c r="V252" s="597"/>
      <c r="W252" s="603">
        <f t="shared" si="313"/>
        <v>3.4437499999999996E-2</v>
      </c>
      <c r="X252" s="594">
        <f t="shared" si="333"/>
        <v>0.17</v>
      </c>
      <c r="Y252" s="600">
        <f t="shared" si="315"/>
        <v>0.25044375000000002</v>
      </c>
      <c r="Z252" s="604">
        <f t="shared" si="334"/>
        <v>0.45488125000000001</v>
      </c>
      <c r="AB252" s="78" t="str">
        <f>Aannames!$C$198</f>
        <v>265  R 16</v>
      </c>
      <c r="AC252" s="772">
        <v>5</v>
      </c>
      <c r="AD252" s="80">
        <f t="shared" si="317"/>
        <v>3.4000000000000002E-2</v>
      </c>
    </row>
    <row r="253" spans="1:30">
      <c r="A253" s="310">
        <f t="shared" si="302"/>
        <v>253</v>
      </c>
      <c r="C253" s="86"/>
      <c r="D253" s="16" t="s">
        <v>1494</v>
      </c>
      <c r="E253" s="678">
        <v>415300</v>
      </c>
      <c r="F253" s="12">
        <v>160000</v>
      </c>
      <c r="G253" s="12">
        <v>20000</v>
      </c>
      <c r="H253" s="12">
        <v>50</v>
      </c>
      <c r="I253" s="576">
        <v>10</v>
      </c>
      <c r="J253" s="575">
        <f t="shared" si="327"/>
        <v>10</v>
      </c>
      <c r="K253" s="120" t="s">
        <v>147</v>
      </c>
      <c r="L253" s="594">
        <f t="shared" si="304"/>
        <v>2.35</v>
      </c>
      <c r="M253" s="595">
        <f t="shared" si="305"/>
        <v>0.85000000000000009</v>
      </c>
      <c r="N253" s="600">
        <f t="shared" si="306"/>
        <v>1.2000000000000002</v>
      </c>
      <c r="O253" s="601">
        <f t="shared" si="328"/>
        <v>4.4000000000000004</v>
      </c>
      <c r="P253" s="602">
        <f>MROUND(1/$J253*IF(K253="Petrol",Aannames!$F$65,$E$297),0.05)</f>
        <v>1.25</v>
      </c>
      <c r="Q253" s="594">
        <f t="shared" si="308"/>
        <v>1.3</v>
      </c>
      <c r="R253" s="600">
        <f t="shared" si="329"/>
        <v>0.5</v>
      </c>
      <c r="S253" s="601">
        <f t="shared" si="330"/>
        <v>3.05</v>
      </c>
      <c r="T253" s="598">
        <f t="shared" si="331"/>
        <v>6.2</v>
      </c>
      <c r="U253" s="599">
        <f t="shared" si="332"/>
        <v>7.45</v>
      </c>
      <c r="V253" s="597"/>
      <c r="W253" s="603">
        <f t="shared" si="313"/>
        <v>3.6249999999999998E-2</v>
      </c>
      <c r="X253" s="594">
        <f t="shared" si="333"/>
        <v>0.17</v>
      </c>
      <c r="Y253" s="600">
        <f t="shared" si="315"/>
        <v>0.27562499999999995</v>
      </c>
      <c r="Z253" s="604">
        <f t="shared" si="334"/>
        <v>0.48187499999999994</v>
      </c>
      <c r="AB253" s="78" t="str">
        <f>Aannames!$C$198</f>
        <v>265  R 16</v>
      </c>
      <c r="AC253" s="772">
        <v>5</v>
      </c>
      <c r="AD253" s="80">
        <f t="shared" si="317"/>
        <v>3.4000000000000002E-2</v>
      </c>
    </row>
    <row r="254" spans="1:30">
      <c r="A254" s="310">
        <f t="shared" si="302"/>
        <v>254</v>
      </c>
      <c r="C254" s="86"/>
      <c r="D254" s="16" t="s">
        <v>1495</v>
      </c>
      <c r="E254" s="678">
        <v>450800</v>
      </c>
      <c r="F254" s="12">
        <v>160000</v>
      </c>
      <c r="G254" s="12">
        <v>20000</v>
      </c>
      <c r="H254" s="12">
        <v>50</v>
      </c>
      <c r="I254" s="576">
        <v>10.1</v>
      </c>
      <c r="J254" s="575">
        <f t="shared" si="327"/>
        <v>9.9009900990099009</v>
      </c>
      <c r="K254" s="120" t="s">
        <v>147</v>
      </c>
      <c r="L254" s="594">
        <f t="shared" si="304"/>
        <v>2.5500000000000003</v>
      </c>
      <c r="M254" s="595">
        <f t="shared" si="305"/>
        <v>0.95000000000000007</v>
      </c>
      <c r="N254" s="600">
        <f t="shared" si="306"/>
        <v>1.3</v>
      </c>
      <c r="O254" s="601">
        <f t="shared" si="328"/>
        <v>4.8000000000000007</v>
      </c>
      <c r="P254" s="602">
        <f>MROUND(1/$J254*IF(K254="Petrol",Aannames!$F$65,$E$297),0.05)</f>
        <v>1.25</v>
      </c>
      <c r="Q254" s="594">
        <f t="shared" si="308"/>
        <v>1.4000000000000001</v>
      </c>
      <c r="R254" s="600">
        <f t="shared" si="329"/>
        <v>0.5</v>
      </c>
      <c r="S254" s="601">
        <f t="shared" si="330"/>
        <v>3.1500000000000004</v>
      </c>
      <c r="T254" s="598">
        <f t="shared" si="331"/>
        <v>6.7000000000000011</v>
      </c>
      <c r="U254" s="599">
        <f t="shared" si="332"/>
        <v>7.9500000000000011</v>
      </c>
      <c r="V254" s="597"/>
      <c r="W254" s="603">
        <f t="shared" si="313"/>
        <v>3.6612499999999999E-2</v>
      </c>
      <c r="X254" s="594">
        <f t="shared" si="333"/>
        <v>0.17</v>
      </c>
      <c r="Y254" s="600">
        <f t="shared" si="315"/>
        <v>0.28566125000000003</v>
      </c>
      <c r="Z254" s="604">
        <f t="shared" si="334"/>
        <v>0.49227375000000007</v>
      </c>
      <c r="AB254" s="78" t="str">
        <f>Aannames!$C$198</f>
        <v>265  R 16</v>
      </c>
      <c r="AC254" s="772">
        <v>5</v>
      </c>
      <c r="AD254" s="80">
        <f t="shared" si="317"/>
        <v>3.4000000000000002E-2</v>
      </c>
    </row>
    <row r="255" spans="1:30" ht="6.75" customHeight="1">
      <c r="A255" s="92" t="str">
        <f>IF(ISNUMBER(E255),ROW(),"")</f>
        <v/>
      </c>
      <c r="C255" s="87"/>
      <c r="D255" s="88"/>
      <c r="E255" s="563"/>
      <c r="F255" s="35"/>
      <c r="G255" s="35"/>
      <c r="H255" s="35"/>
      <c r="I255" s="577"/>
      <c r="J255" s="577"/>
      <c r="K255" s="121"/>
      <c r="L255" s="605"/>
      <c r="M255" s="606"/>
      <c r="N255" s="605"/>
      <c r="O255" s="607"/>
      <c r="P255" s="845"/>
      <c r="Q255" s="605"/>
      <c r="R255" s="605"/>
      <c r="S255" s="607"/>
      <c r="T255" s="608"/>
      <c r="U255" s="609"/>
      <c r="V255" s="597"/>
      <c r="W255" s="610"/>
      <c r="X255" s="611"/>
      <c r="Y255" s="612"/>
      <c r="Z255" s="613"/>
    </row>
    <row r="256" spans="1:30">
      <c r="B256" s="92"/>
      <c r="C256" s="92"/>
      <c r="D256" s="92"/>
      <c r="E256" s="564"/>
      <c r="F256" s="92"/>
      <c r="G256" s="92"/>
      <c r="H256" s="92"/>
      <c r="I256" s="564"/>
      <c r="J256" s="564"/>
      <c r="K256" s="114"/>
      <c r="L256" s="174"/>
      <c r="M256" s="174"/>
      <c r="N256" s="174"/>
      <c r="O256" s="174"/>
      <c r="P256" s="174"/>
      <c r="Q256" s="174"/>
      <c r="R256" s="174"/>
      <c r="S256" s="174"/>
      <c r="T256" s="614"/>
      <c r="U256" s="174"/>
      <c r="V256" s="174"/>
      <c r="W256" s="174"/>
      <c r="X256" s="174"/>
      <c r="Y256" s="174"/>
      <c r="Z256" s="615"/>
      <c r="AA256" s="92"/>
    </row>
    <row r="257" spans="1:30">
      <c r="A257" s="267"/>
      <c r="B257" s="267"/>
      <c r="C257" s="267"/>
      <c r="D257" s="267"/>
      <c r="E257" s="564"/>
      <c r="F257" s="267"/>
      <c r="G257" s="267"/>
      <c r="H257" s="267"/>
      <c r="I257" s="564"/>
      <c r="J257" s="564"/>
      <c r="K257" s="114"/>
      <c r="L257" s="174"/>
      <c r="M257" s="174"/>
      <c r="N257" s="174"/>
      <c r="O257" s="174"/>
      <c r="P257" s="174"/>
      <c r="Q257" s="174"/>
      <c r="R257" s="174"/>
      <c r="S257" s="174"/>
      <c r="T257" s="614"/>
      <c r="U257" s="174"/>
      <c r="V257" s="174"/>
      <c r="W257" s="174"/>
      <c r="X257" s="174"/>
      <c r="Y257" s="174"/>
      <c r="Z257" s="615"/>
      <c r="AA257" s="267"/>
      <c r="AC257" s="268"/>
    </row>
    <row r="258" spans="1:30" s="452" customFormat="1" ht="23.25" customHeight="1" thickBot="1">
      <c r="A258" s="31" t="str">
        <f t="shared" si="0"/>
        <v/>
      </c>
      <c r="B258" s="287">
        <f>B9+1</f>
        <v>18</v>
      </c>
      <c r="C258" s="288" t="s">
        <v>474</v>
      </c>
      <c r="D258" s="289"/>
      <c r="E258" s="558"/>
      <c r="F258" s="291"/>
      <c r="G258" s="291"/>
      <c r="H258" s="291"/>
      <c r="I258" s="578"/>
      <c r="J258" s="578"/>
      <c r="K258" s="291"/>
      <c r="L258" s="579"/>
      <c r="M258" s="579"/>
      <c r="N258" s="579"/>
      <c r="O258" s="579"/>
      <c r="P258" s="579"/>
      <c r="Q258" s="579"/>
      <c r="R258" s="579"/>
      <c r="S258" s="579"/>
      <c r="T258" s="298"/>
      <c r="U258" s="580"/>
      <c r="V258" s="581"/>
      <c r="W258" s="582"/>
      <c r="X258" s="583"/>
      <c r="Y258" s="583"/>
      <c r="Z258" s="584"/>
      <c r="AA258" s="158"/>
      <c r="AB258" s="159" t="s">
        <v>33</v>
      </c>
      <c r="AC258" s="160"/>
      <c r="AD258" s="161"/>
    </row>
    <row r="259" spans="1:30" ht="6.75" customHeight="1">
      <c r="A259" s="92" t="str">
        <f t="shared" si="0"/>
        <v/>
      </c>
      <c r="B259" s="69"/>
      <c r="C259" s="89"/>
      <c r="D259" s="2"/>
      <c r="E259" s="559"/>
      <c r="F259" s="70"/>
      <c r="G259" s="70"/>
      <c r="H259" s="70"/>
      <c r="I259" s="573"/>
      <c r="J259" s="573"/>
      <c r="K259" s="118"/>
      <c r="L259" s="585"/>
      <c r="M259" s="585"/>
      <c r="N259" s="585"/>
      <c r="O259" s="585"/>
      <c r="P259" s="585"/>
      <c r="Q259" s="585"/>
      <c r="R259" s="585"/>
      <c r="S259" s="585"/>
      <c r="T259" s="175"/>
      <c r="U259" s="586"/>
      <c r="V259" s="587"/>
      <c r="W259" s="588"/>
      <c r="X259" s="589"/>
      <c r="Y259" s="589"/>
      <c r="Z259" s="590"/>
      <c r="AA259" s="69"/>
      <c r="AB259" s="81"/>
      <c r="AC259" s="82"/>
      <c r="AD259" s="83"/>
    </row>
    <row r="260" spans="1:30" ht="6.75" customHeight="1">
      <c r="A260" s="183"/>
      <c r="B260" s="69"/>
      <c r="C260" s="89"/>
      <c r="D260" s="2"/>
      <c r="E260" s="559"/>
      <c r="F260" s="70"/>
      <c r="G260" s="70"/>
      <c r="H260" s="70"/>
      <c r="I260" s="573"/>
      <c r="J260" s="573"/>
      <c r="K260" s="118"/>
      <c r="L260" s="585"/>
      <c r="M260" s="585"/>
      <c r="N260" s="585"/>
      <c r="O260" s="585"/>
      <c r="P260" s="585"/>
      <c r="Q260" s="585"/>
      <c r="R260" s="585"/>
      <c r="S260" s="585"/>
      <c r="T260" s="175"/>
      <c r="U260" s="586"/>
      <c r="V260" s="587"/>
      <c r="W260" s="591"/>
      <c r="X260" s="585"/>
      <c r="Y260" s="585"/>
      <c r="Z260" s="592"/>
      <c r="AA260" s="69"/>
      <c r="AB260" s="81"/>
      <c r="AC260" s="82"/>
      <c r="AD260" s="83"/>
    </row>
    <row r="261" spans="1:30">
      <c r="A261" s="310"/>
      <c r="C261" s="553" t="s">
        <v>995</v>
      </c>
      <c r="D261" s="16"/>
      <c r="E261" s="560"/>
      <c r="F261" s="12"/>
      <c r="G261" s="12"/>
      <c r="H261" s="12"/>
      <c r="I261" s="575"/>
      <c r="J261" s="575"/>
      <c r="K261" s="119"/>
      <c r="L261" s="594"/>
      <c r="M261" s="595"/>
      <c r="N261" s="594"/>
      <c r="O261" s="596"/>
      <c r="P261" s="594"/>
      <c r="Q261" s="594"/>
      <c r="R261" s="594"/>
      <c r="S261" s="596"/>
      <c r="T261" s="598"/>
      <c r="U261" s="599"/>
      <c r="V261" s="597"/>
      <c r="W261" s="603"/>
      <c r="X261" s="594"/>
      <c r="Y261" s="594"/>
      <c r="Z261" s="604"/>
      <c r="AC261" s="534"/>
    </row>
    <row r="262" spans="1:30">
      <c r="A262" s="310"/>
      <c r="C262" s="86"/>
      <c r="D262" s="16"/>
      <c r="E262" s="560"/>
      <c r="F262" s="12"/>
      <c r="G262" s="12"/>
      <c r="H262" s="12"/>
      <c r="I262" s="575"/>
      <c r="J262" s="575"/>
      <c r="K262" s="119"/>
      <c r="L262" s="594"/>
      <c r="M262" s="595"/>
      <c r="N262" s="594"/>
      <c r="O262" s="596"/>
      <c r="P262" s="594"/>
      <c r="Q262" s="594"/>
      <c r="R262" s="594"/>
      <c r="S262" s="596"/>
      <c r="T262" s="598"/>
      <c r="U262" s="599"/>
      <c r="V262" s="597"/>
      <c r="W262" s="603"/>
      <c r="X262" s="594"/>
      <c r="Y262" s="594"/>
      <c r="Z262" s="604"/>
      <c r="AC262" s="534"/>
    </row>
    <row r="263" spans="1:30">
      <c r="A263" s="92" t="str">
        <f t="shared" ref="A263:A283" si="335">IF(ISNUMBER(E263),ROW(),"")</f>
        <v/>
      </c>
      <c r="C263" s="283" t="s">
        <v>388</v>
      </c>
      <c r="D263" s="16"/>
      <c r="E263" s="560"/>
      <c r="F263" s="756"/>
      <c r="G263" s="756"/>
      <c r="H263" s="12"/>
      <c r="I263" s="575"/>
      <c r="J263" s="575"/>
      <c r="K263" s="119"/>
      <c r="L263" s="594"/>
      <c r="M263" s="595"/>
      <c r="N263" s="594"/>
      <c r="O263" s="596"/>
      <c r="P263" s="597"/>
      <c r="Q263" s="597"/>
      <c r="R263" s="594"/>
      <c r="S263" s="596"/>
      <c r="T263" s="598"/>
      <c r="U263" s="599"/>
      <c r="V263" s="597"/>
      <c r="W263" s="603"/>
      <c r="X263" s="594"/>
      <c r="Y263" s="594"/>
      <c r="Z263" s="604"/>
    </row>
    <row r="264" spans="1:30">
      <c r="A264" s="92">
        <f t="shared" si="335"/>
        <v>264</v>
      </c>
      <c r="C264" s="117"/>
      <c r="D264" s="167" t="s">
        <v>364</v>
      </c>
      <c r="E264" s="678">
        <v>670000</v>
      </c>
      <c r="F264" s="12">
        <v>300000</v>
      </c>
      <c r="G264" s="12">
        <v>15000</v>
      </c>
      <c r="H264" s="12">
        <v>50</v>
      </c>
      <c r="I264" s="576">
        <v>15</v>
      </c>
      <c r="J264" s="575">
        <f>100/I264</f>
        <v>6.666666666666667</v>
      </c>
      <c r="K264" s="757" t="s">
        <v>147</v>
      </c>
      <c r="L264" s="594">
        <f t="shared" ref="L264:L270" si="336">MROUND($E264*(1-$E$295/100)/F264,0.05)</f>
        <v>2</v>
      </c>
      <c r="M264" s="595">
        <f t="shared" ref="M264:M270" si="337">MROUND($E264*(1+$E$295/100)/2*$F$304/100/$G264,0.05)</f>
        <v>1.85</v>
      </c>
      <c r="N264" s="600">
        <f t="shared" ref="N264:N270" si="338">MROUND($E264*(1+$E$295/100)/2*$E$296/100/$G264,0.05)</f>
        <v>2.6</v>
      </c>
      <c r="O264" s="601">
        <f t="shared" ref="O264:O270" si="339">SUM(L264:N264)</f>
        <v>6.45</v>
      </c>
      <c r="P264" s="602">
        <f t="shared" ref="P264:P270" si="340">MROUND(1/$J264*IF(K264="Petrol",Petrol.Handel,$E$297),0.05)</f>
        <v>1.85</v>
      </c>
      <c r="Q264" s="594">
        <f t="shared" ref="Q264:Q270" si="341">MROUND($E264*$H264/100/$F264,0.05)</f>
        <v>1.1000000000000001</v>
      </c>
      <c r="R264" s="600">
        <f t="shared" ref="R264:R270" si="342">MROUND(SUM(Z264),0.05)</f>
        <v>0.9</v>
      </c>
      <c r="S264" s="601">
        <f t="shared" ref="S264:S270" si="343">SUM(P264:R264)</f>
        <v>3.85</v>
      </c>
      <c r="T264" s="598">
        <f t="shared" ref="T264:T270" si="344">U264-P264</f>
        <v>8.4500000000000011</v>
      </c>
      <c r="U264" s="599">
        <f t="shared" ref="U264:U270" si="345">S264+O264</f>
        <v>10.3</v>
      </c>
      <c r="V264" s="597"/>
      <c r="W264" s="603">
        <f t="shared" ref="W264:W270" si="346">1/$J264*IF(C264&lt;=5,$F$330,$F$331)/100*$K$300</f>
        <v>8.1562499999999996E-2</v>
      </c>
      <c r="X264" s="594">
        <f t="shared" ref="X264:X270" si="347">AC264*AD264</f>
        <v>0.48977777777777776</v>
      </c>
      <c r="Y264" s="600">
        <f>SUM(Q264,P264,W264,X264)*$F$308/100</f>
        <v>0.3521340277777778</v>
      </c>
      <c r="Z264" s="604">
        <f t="shared" ref="Z264:Z270" si="348">SUM(W264:Y264)</f>
        <v>0.92347430555555554</v>
      </c>
      <c r="AB264" s="78" t="s">
        <v>150</v>
      </c>
      <c r="AC264" s="79">
        <v>8</v>
      </c>
      <c r="AD264" s="80">
        <f t="shared" ref="AD264:AD270" si="349">VLOOKUP(AB264,$D$337:$F$341,COLUMNS($D$337:$F$337),FALSE)/$F$333</f>
        <v>6.122222222222222E-2</v>
      </c>
    </row>
    <row r="265" spans="1:30">
      <c r="A265" s="92">
        <f t="shared" si="335"/>
        <v>265</v>
      </c>
      <c r="C265" s="117"/>
      <c r="D265" s="167" t="s">
        <v>363</v>
      </c>
      <c r="E265" s="678">
        <v>700000</v>
      </c>
      <c r="F265" s="12">
        <v>300000</v>
      </c>
      <c r="G265" s="12">
        <v>15000</v>
      </c>
      <c r="H265" s="12">
        <v>50</v>
      </c>
      <c r="I265" s="576">
        <v>15</v>
      </c>
      <c r="J265" s="575">
        <f t="shared" ref="J265:J270" si="350">100/I265</f>
        <v>6.666666666666667</v>
      </c>
      <c r="K265" s="757" t="s">
        <v>147</v>
      </c>
      <c r="L265" s="594">
        <f t="shared" si="336"/>
        <v>2.1</v>
      </c>
      <c r="M265" s="595">
        <f t="shared" si="337"/>
        <v>1.9500000000000002</v>
      </c>
      <c r="N265" s="600">
        <f t="shared" si="338"/>
        <v>2.7</v>
      </c>
      <c r="O265" s="601">
        <f t="shared" si="339"/>
        <v>6.7500000000000009</v>
      </c>
      <c r="P265" s="602">
        <f t="shared" si="340"/>
        <v>1.85</v>
      </c>
      <c r="Q265" s="594">
        <f t="shared" si="341"/>
        <v>1.1500000000000001</v>
      </c>
      <c r="R265" s="600">
        <f t="shared" si="342"/>
        <v>0.95000000000000007</v>
      </c>
      <c r="S265" s="601">
        <f t="shared" si="343"/>
        <v>3.95</v>
      </c>
      <c r="T265" s="598">
        <f t="shared" si="344"/>
        <v>8.8500000000000014</v>
      </c>
      <c r="U265" s="599">
        <f t="shared" si="345"/>
        <v>10.700000000000001</v>
      </c>
      <c r="V265" s="597"/>
      <c r="W265" s="603">
        <f t="shared" si="346"/>
        <v>8.1562499999999996E-2</v>
      </c>
      <c r="X265" s="594">
        <f t="shared" si="347"/>
        <v>0.48977777777777776</v>
      </c>
      <c r="Y265" s="600">
        <f t="shared" ref="Y265:Y270" si="351">SUM(P265,Q265,W265,X265)*$F$308/100</f>
        <v>0.35713402777777781</v>
      </c>
      <c r="Z265" s="604">
        <f t="shared" si="348"/>
        <v>0.92847430555555555</v>
      </c>
      <c r="AB265" s="78" t="s">
        <v>150</v>
      </c>
      <c r="AC265" s="79">
        <v>8</v>
      </c>
      <c r="AD265" s="80">
        <f t="shared" si="349"/>
        <v>6.122222222222222E-2</v>
      </c>
    </row>
    <row r="266" spans="1:30">
      <c r="A266" s="267">
        <f t="shared" ref="A266" si="352">IF(ISNUMBER(E266),ROW(),"")</f>
        <v>266</v>
      </c>
      <c r="C266" s="117"/>
      <c r="D266" s="167" t="s">
        <v>497</v>
      </c>
      <c r="E266" s="678">
        <v>725000</v>
      </c>
      <c r="F266" s="12">
        <v>300000</v>
      </c>
      <c r="G266" s="12">
        <v>15000</v>
      </c>
      <c r="H266" s="12">
        <v>50</v>
      </c>
      <c r="I266" s="576">
        <v>25</v>
      </c>
      <c r="J266" s="575">
        <f t="shared" si="350"/>
        <v>4</v>
      </c>
      <c r="K266" s="757" t="s">
        <v>147</v>
      </c>
      <c r="L266" s="594">
        <f t="shared" si="336"/>
        <v>2.15</v>
      </c>
      <c r="M266" s="595">
        <f t="shared" si="337"/>
        <v>2</v>
      </c>
      <c r="N266" s="600">
        <f t="shared" si="338"/>
        <v>2.8000000000000003</v>
      </c>
      <c r="O266" s="601">
        <f t="shared" si="339"/>
        <v>6.9500000000000011</v>
      </c>
      <c r="P266" s="602">
        <f t="shared" si="340"/>
        <v>3.1</v>
      </c>
      <c r="Q266" s="594">
        <f t="shared" si="341"/>
        <v>1.2000000000000002</v>
      </c>
      <c r="R266" s="600">
        <f t="shared" si="342"/>
        <v>1.1000000000000001</v>
      </c>
      <c r="S266" s="601">
        <f t="shared" si="343"/>
        <v>5.4</v>
      </c>
      <c r="T266" s="598">
        <f t="shared" si="344"/>
        <v>9.2500000000000018</v>
      </c>
      <c r="U266" s="599">
        <f t="shared" si="345"/>
        <v>12.350000000000001</v>
      </c>
      <c r="V266" s="597"/>
      <c r="W266" s="603">
        <f t="shared" si="346"/>
        <v>0.13593749999999999</v>
      </c>
      <c r="X266" s="594">
        <f t="shared" si="347"/>
        <v>0.48977777777777776</v>
      </c>
      <c r="Y266" s="600">
        <f t="shared" si="351"/>
        <v>0.49257152777777774</v>
      </c>
      <c r="Z266" s="604">
        <f t="shared" si="348"/>
        <v>1.1182868055555555</v>
      </c>
      <c r="AB266" s="78" t="s">
        <v>150</v>
      </c>
      <c r="AC266" s="268">
        <v>8</v>
      </c>
      <c r="AD266" s="80">
        <f t="shared" si="349"/>
        <v>6.122222222222222E-2</v>
      </c>
    </row>
    <row r="267" spans="1:30">
      <c r="A267" s="92">
        <f t="shared" si="335"/>
        <v>267</v>
      </c>
      <c r="C267" s="117"/>
      <c r="D267" s="167" t="s">
        <v>367</v>
      </c>
      <c r="E267" s="678">
        <v>745000</v>
      </c>
      <c r="F267" s="12">
        <v>300000</v>
      </c>
      <c r="G267" s="12">
        <v>15000</v>
      </c>
      <c r="H267" s="12">
        <v>50</v>
      </c>
      <c r="I267" s="576">
        <v>25</v>
      </c>
      <c r="J267" s="575">
        <f t="shared" si="350"/>
        <v>4</v>
      </c>
      <c r="K267" s="757" t="s">
        <v>147</v>
      </c>
      <c r="L267" s="594">
        <f t="shared" si="336"/>
        <v>2.25</v>
      </c>
      <c r="M267" s="595">
        <f t="shared" si="337"/>
        <v>2.0500000000000003</v>
      </c>
      <c r="N267" s="600">
        <f t="shared" si="338"/>
        <v>2.85</v>
      </c>
      <c r="O267" s="601">
        <f t="shared" si="339"/>
        <v>7.15</v>
      </c>
      <c r="P267" s="602">
        <f t="shared" si="340"/>
        <v>3.1</v>
      </c>
      <c r="Q267" s="594">
        <f t="shared" si="341"/>
        <v>1.25</v>
      </c>
      <c r="R267" s="600">
        <f t="shared" si="342"/>
        <v>1.1000000000000001</v>
      </c>
      <c r="S267" s="601">
        <f t="shared" si="343"/>
        <v>5.4499999999999993</v>
      </c>
      <c r="T267" s="598">
        <f t="shared" si="344"/>
        <v>9.5</v>
      </c>
      <c r="U267" s="599">
        <f t="shared" si="345"/>
        <v>12.6</v>
      </c>
      <c r="V267" s="597"/>
      <c r="W267" s="603">
        <f t="shared" si="346"/>
        <v>0.13593749999999999</v>
      </c>
      <c r="X267" s="594">
        <f t="shared" si="347"/>
        <v>0.48977777777777776</v>
      </c>
      <c r="Y267" s="600">
        <f t="shared" si="351"/>
        <v>0.49757152777777769</v>
      </c>
      <c r="Z267" s="604">
        <f t="shared" si="348"/>
        <v>1.1232868055555554</v>
      </c>
      <c r="AB267" s="78" t="s">
        <v>150</v>
      </c>
      <c r="AC267" s="79">
        <v>8</v>
      </c>
      <c r="AD267" s="80">
        <f t="shared" si="349"/>
        <v>6.122222222222222E-2</v>
      </c>
    </row>
    <row r="268" spans="1:30">
      <c r="A268" s="92">
        <f t="shared" si="335"/>
        <v>268</v>
      </c>
      <c r="C268" s="117"/>
      <c r="D268" s="167" t="s">
        <v>362</v>
      </c>
      <c r="E268" s="678">
        <v>835000</v>
      </c>
      <c r="F268" s="12">
        <v>300000</v>
      </c>
      <c r="G268" s="12">
        <v>15000</v>
      </c>
      <c r="H268" s="12">
        <v>60</v>
      </c>
      <c r="I268" s="576">
        <v>28</v>
      </c>
      <c r="J268" s="575">
        <f t="shared" si="350"/>
        <v>3.5714285714285716</v>
      </c>
      <c r="K268" s="757" t="s">
        <v>147</v>
      </c>
      <c r="L268" s="594">
        <f t="shared" si="336"/>
        <v>2.5</v>
      </c>
      <c r="M268" s="595">
        <f t="shared" si="337"/>
        <v>2.3000000000000003</v>
      </c>
      <c r="N268" s="600">
        <f t="shared" si="338"/>
        <v>3.2</v>
      </c>
      <c r="O268" s="601">
        <f t="shared" si="339"/>
        <v>8</v>
      </c>
      <c r="P268" s="602">
        <f t="shared" si="340"/>
        <v>3.45</v>
      </c>
      <c r="Q268" s="594">
        <f t="shared" si="341"/>
        <v>1.6500000000000001</v>
      </c>
      <c r="R268" s="600">
        <f t="shared" si="342"/>
        <v>1.6</v>
      </c>
      <c r="S268" s="601">
        <f t="shared" si="343"/>
        <v>6.7000000000000011</v>
      </c>
      <c r="T268" s="598">
        <f t="shared" si="344"/>
        <v>11.25</v>
      </c>
      <c r="U268" s="599">
        <f t="shared" si="345"/>
        <v>14.700000000000001</v>
      </c>
      <c r="V268" s="597"/>
      <c r="W268" s="603">
        <f t="shared" si="346"/>
        <v>0.15224999999999997</v>
      </c>
      <c r="X268" s="594">
        <f t="shared" si="347"/>
        <v>0.84333333333333327</v>
      </c>
      <c r="Y268" s="600">
        <f t="shared" si="351"/>
        <v>0.60955833333333342</v>
      </c>
      <c r="Z268" s="604">
        <f t="shared" si="348"/>
        <v>1.6051416666666667</v>
      </c>
      <c r="AB268" s="78" t="s">
        <v>151</v>
      </c>
      <c r="AC268" s="79">
        <v>11</v>
      </c>
      <c r="AD268" s="80">
        <f t="shared" si="349"/>
        <v>7.6666666666666661E-2</v>
      </c>
    </row>
    <row r="269" spans="1:30">
      <c r="A269" s="93">
        <f t="shared" si="335"/>
        <v>269</v>
      </c>
      <c r="C269" s="117"/>
      <c r="D269" s="167" t="s">
        <v>361</v>
      </c>
      <c r="E269" s="678">
        <v>885000</v>
      </c>
      <c r="F269" s="12">
        <v>300000</v>
      </c>
      <c r="G269" s="12">
        <v>15000</v>
      </c>
      <c r="H269" s="12">
        <v>60</v>
      </c>
      <c r="I269" s="576">
        <v>30</v>
      </c>
      <c r="J269" s="575">
        <f t="shared" si="350"/>
        <v>3.3333333333333335</v>
      </c>
      <c r="K269" s="757" t="s">
        <v>147</v>
      </c>
      <c r="L269" s="594">
        <f t="shared" si="336"/>
        <v>2.6500000000000004</v>
      </c>
      <c r="M269" s="595">
        <f t="shared" si="337"/>
        <v>2.4500000000000002</v>
      </c>
      <c r="N269" s="600">
        <f t="shared" si="338"/>
        <v>3.4000000000000004</v>
      </c>
      <c r="O269" s="601">
        <f t="shared" si="339"/>
        <v>8.5</v>
      </c>
      <c r="P269" s="602">
        <f t="shared" si="340"/>
        <v>3.7</v>
      </c>
      <c r="Q269" s="594">
        <f t="shared" si="341"/>
        <v>1.75</v>
      </c>
      <c r="R269" s="600">
        <f t="shared" si="342"/>
        <v>1.8</v>
      </c>
      <c r="S269" s="601">
        <f t="shared" si="343"/>
        <v>7.25</v>
      </c>
      <c r="T269" s="598">
        <f t="shared" si="344"/>
        <v>12.05</v>
      </c>
      <c r="U269" s="599">
        <f t="shared" si="345"/>
        <v>15.75</v>
      </c>
      <c r="V269" s="597"/>
      <c r="W269" s="603">
        <f t="shared" si="346"/>
        <v>0.16312499999999999</v>
      </c>
      <c r="X269" s="594">
        <f t="shared" si="347"/>
        <v>0.98511111111111105</v>
      </c>
      <c r="Y269" s="600">
        <f t="shared" si="351"/>
        <v>0.65982361111111121</v>
      </c>
      <c r="Z269" s="604">
        <f t="shared" si="348"/>
        <v>1.8080597222222221</v>
      </c>
      <c r="AB269" s="78" t="s">
        <v>152</v>
      </c>
      <c r="AC269" s="79">
        <v>11</v>
      </c>
      <c r="AD269" s="80">
        <f t="shared" si="349"/>
        <v>8.9555555555555555E-2</v>
      </c>
    </row>
    <row r="270" spans="1:30">
      <c r="A270" s="267">
        <f t="shared" ref="A270" si="353">IF(ISNUMBER(E270),ROW(),"")</f>
        <v>270</v>
      </c>
      <c r="C270" s="117"/>
      <c r="D270" s="167" t="s">
        <v>498</v>
      </c>
      <c r="E270" s="678">
        <v>985000</v>
      </c>
      <c r="F270" s="12">
        <v>300000</v>
      </c>
      <c r="G270" s="12">
        <v>15000</v>
      </c>
      <c r="H270" s="12">
        <v>60</v>
      </c>
      <c r="I270" s="576">
        <v>30</v>
      </c>
      <c r="J270" s="575">
        <f t="shared" si="350"/>
        <v>3.3333333333333335</v>
      </c>
      <c r="K270" s="757" t="s">
        <v>147</v>
      </c>
      <c r="L270" s="594">
        <f t="shared" si="336"/>
        <v>2.95</v>
      </c>
      <c r="M270" s="595">
        <f t="shared" si="337"/>
        <v>2.7</v>
      </c>
      <c r="N270" s="600">
        <f t="shared" si="338"/>
        <v>3.8000000000000003</v>
      </c>
      <c r="O270" s="601">
        <f t="shared" si="339"/>
        <v>9.4500000000000011</v>
      </c>
      <c r="P270" s="602">
        <f t="shared" si="340"/>
        <v>3.7</v>
      </c>
      <c r="Q270" s="594">
        <f t="shared" si="341"/>
        <v>1.9500000000000002</v>
      </c>
      <c r="R270" s="600">
        <f t="shared" si="342"/>
        <v>1.85</v>
      </c>
      <c r="S270" s="601">
        <f t="shared" si="343"/>
        <v>7.5</v>
      </c>
      <c r="T270" s="598">
        <f t="shared" si="344"/>
        <v>13.250000000000004</v>
      </c>
      <c r="U270" s="599">
        <f t="shared" si="345"/>
        <v>16.950000000000003</v>
      </c>
      <c r="V270" s="597"/>
      <c r="W270" s="603">
        <f t="shared" si="346"/>
        <v>0.16312499999999999</v>
      </c>
      <c r="X270" s="594">
        <f t="shared" si="347"/>
        <v>0.98511111111111105</v>
      </c>
      <c r="Y270" s="600">
        <f t="shared" si="351"/>
        <v>0.67982361111111123</v>
      </c>
      <c r="Z270" s="604">
        <f t="shared" si="348"/>
        <v>1.8280597222222221</v>
      </c>
      <c r="AB270" s="78" t="s">
        <v>152</v>
      </c>
      <c r="AC270" s="268">
        <v>11</v>
      </c>
      <c r="AD270" s="80">
        <f t="shared" si="349"/>
        <v>8.9555555555555555E-2</v>
      </c>
    </row>
    <row r="271" spans="1:30">
      <c r="A271" s="93" t="str">
        <f t="shared" si="335"/>
        <v/>
      </c>
      <c r="C271" s="86"/>
      <c r="D271" s="16"/>
      <c r="E271" s="560"/>
      <c r="F271" s="12"/>
      <c r="G271" s="12"/>
      <c r="H271" s="12"/>
      <c r="I271" s="575"/>
      <c r="J271" s="575"/>
      <c r="K271" s="119"/>
      <c r="L271" s="594"/>
      <c r="M271" s="595"/>
      <c r="N271" s="594"/>
      <c r="O271" s="596"/>
      <c r="P271" s="594"/>
      <c r="Q271" s="594"/>
      <c r="R271" s="594"/>
      <c r="S271" s="596"/>
      <c r="T271" s="598"/>
      <c r="U271" s="599"/>
      <c r="V271" s="597"/>
      <c r="W271" s="603"/>
      <c r="X271" s="594"/>
      <c r="Y271" s="594"/>
      <c r="Z271" s="604"/>
    </row>
    <row r="272" spans="1:30">
      <c r="A272" s="310"/>
      <c r="C272" s="553" t="s">
        <v>994</v>
      </c>
      <c r="D272" s="16"/>
      <c r="E272" s="560"/>
      <c r="F272" s="12"/>
      <c r="G272" s="12"/>
      <c r="H272" s="12"/>
      <c r="I272" s="575"/>
      <c r="J272" s="575"/>
      <c r="K272" s="119"/>
      <c r="L272" s="594"/>
      <c r="M272" s="595"/>
      <c r="N272" s="594"/>
      <c r="O272" s="596"/>
      <c r="P272" s="594"/>
      <c r="Q272" s="594"/>
      <c r="R272" s="594"/>
      <c r="S272" s="596"/>
      <c r="T272" s="598"/>
      <c r="U272" s="599"/>
      <c r="V272" s="597"/>
      <c r="W272" s="603"/>
      <c r="X272" s="594"/>
      <c r="Y272" s="594"/>
      <c r="Z272" s="604"/>
      <c r="AC272" s="534"/>
    </row>
    <row r="273" spans="1:30">
      <c r="A273" s="310"/>
      <c r="C273" s="86"/>
      <c r="D273" s="16"/>
      <c r="E273" s="560"/>
      <c r="F273" s="12"/>
      <c r="G273" s="12"/>
      <c r="H273" s="12"/>
      <c r="I273" s="575"/>
      <c r="J273" s="575"/>
      <c r="K273" s="119"/>
      <c r="L273" s="594"/>
      <c r="M273" s="595"/>
      <c r="N273" s="594"/>
      <c r="O273" s="596"/>
      <c r="P273" s="594"/>
      <c r="Q273" s="594"/>
      <c r="R273" s="594"/>
      <c r="S273" s="596"/>
      <c r="T273" s="598"/>
      <c r="U273" s="599"/>
      <c r="V273" s="597"/>
      <c r="W273" s="603"/>
      <c r="X273" s="594"/>
      <c r="Y273" s="594"/>
      <c r="Z273" s="604"/>
      <c r="AC273" s="534"/>
    </row>
    <row r="274" spans="1:30">
      <c r="A274" s="93" t="str">
        <f t="shared" si="335"/>
        <v/>
      </c>
      <c r="C274" s="283" t="s">
        <v>389</v>
      </c>
      <c r="D274" s="16"/>
      <c r="E274" s="560"/>
      <c r="F274" s="12"/>
      <c r="G274" s="12"/>
      <c r="H274" s="12"/>
      <c r="I274" s="575"/>
      <c r="J274" s="575"/>
      <c r="K274" s="119"/>
      <c r="L274" s="594"/>
      <c r="M274" s="595"/>
      <c r="N274" s="594"/>
      <c r="O274" s="596"/>
      <c r="P274" s="594"/>
      <c r="Q274" s="594"/>
      <c r="R274" s="594"/>
      <c r="S274" s="596"/>
      <c r="T274" s="598"/>
      <c r="U274" s="599"/>
      <c r="V274" s="597"/>
      <c r="W274" s="603"/>
      <c r="X274" s="594"/>
      <c r="Y274" s="594"/>
      <c r="Z274" s="604"/>
    </row>
    <row r="275" spans="1:30">
      <c r="A275" s="93">
        <f t="shared" si="335"/>
        <v>275</v>
      </c>
      <c r="C275" s="117"/>
      <c r="D275" s="167" t="s">
        <v>368</v>
      </c>
      <c r="E275" s="678">
        <v>1280000</v>
      </c>
      <c r="F275" s="12">
        <v>300000</v>
      </c>
      <c r="G275" s="12">
        <v>70000</v>
      </c>
      <c r="H275" s="12">
        <v>60</v>
      </c>
      <c r="I275" s="576">
        <v>40</v>
      </c>
      <c r="J275" s="575">
        <f t="shared" ref="J275" si="354">100/I275</f>
        <v>2.5</v>
      </c>
      <c r="K275" s="757" t="s">
        <v>147</v>
      </c>
      <c r="L275" s="594">
        <f>MROUND($E275*(1-$E$295/100)/F275,0.05)</f>
        <v>3.85</v>
      </c>
      <c r="M275" s="595">
        <f>MROUND($E275*(1+$E$295/100)/2*$F$304/100/$G275,0.05)</f>
        <v>0.75</v>
      </c>
      <c r="N275" s="600">
        <f>MROUND($E275*(1+$E$295/100)/2*$E$296/100/$G275,0.05)</f>
        <v>1.05</v>
      </c>
      <c r="O275" s="601">
        <f>SUM(L275:N275)</f>
        <v>5.6499999999999995</v>
      </c>
      <c r="P275" s="602">
        <f>MROUND(1/$J275*IF(K275="Petrol",Petrol.Handel,$E$297),0.05)</f>
        <v>4.9000000000000004</v>
      </c>
      <c r="Q275" s="594">
        <f>MROUND($E275*$H275/100/$F275,0.05)</f>
        <v>2.5500000000000003</v>
      </c>
      <c r="R275" s="600">
        <f>MROUND(SUM(Z275),0.05)</f>
        <v>2.25</v>
      </c>
      <c r="S275" s="601">
        <f>SUM(P275:R275)</f>
        <v>9.7000000000000011</v>
      </c>
      <c r="T275" s="598">
        <f t="shared" ref="T275" si="355">U275-P275</f>
        <v>10.450000000000001</v>
      </c>
      <c r="U275" s="599">
        <f>S275+O275</f>
        <v>15.350000000000001</v>
      </c>
      <c r="V275" s="597"/>
      <c r="W275" s="603">
        <f>1/$J275*IF(C275&lt;=5,$F$330,$F$331)/100*$K$300</f>
        <v>0.21750000000000003</v>
      </c>
      <c r="X275" s="594">
        <f>AC275*AD275</f>
        <v>1.1413333333333333</v>
      </c>
      <c r="Y275" s="600">
        <f>SUM(P275,Q275,W275,X275)*$F$308/100</f>
        <v>0.88088333333333335</v>
      </c>
      <c r="Z275" s="604">
        <f>SUM(W275:Y275)</f>
        <v>2.2397166666666668</v>
      </c>
      <c r="AB275" s="78" t="s">
        <v>153</v>
      </c>
      <c r="AC275" s="79">
        <v>12</v>
      </c>
      <c r="AD275" s="80">
        <f>VLOOKUP(AB275,$D$337:$F$341,COLUMNS($D$337:$F$337),FALSE)/$F$333</f>
        <v>9.5111111111111105E-2</v>
      </c>
    </row>
    <row r="276" spans="1:30">
      <c r="A276" s="93" t="str">
        <f t="shared" si="335"/>
        <v/>
      </c>
      <c r="C276" s="86"/>
      <c r="D276" s="16"/>
      <c r="E276" s="560"/>
      <c r="F276" s="12"/>
      <c r="G276" s="12"/>
      <c r="H276" s="12"/>
      <c r="I276" s="575"/>
      <c r="J276" s="575"/>
      <c r="K276" s="119"/>
      <c r="L276" s="594"/>
      <c r="M276" s="595"/>
      <c r="N276" s="594"/>
      <c r="O276" s="596"/>
      <c r="P276" s="594"/>
      <c r="Q276" s="594"/>
      <c r="R276" s="594"/>
      <c r="S276" s="596"/>
      <c r="T276" s="598"/>
      <c r="U276" s="599"/>
      <c r="V276" s="597"/>
      <c r="W276" s="603"/>
      <c r="X276" s="594"/>
      <c r="Y276" s="594"/>
      <c r="Z276" s="604"/>
      <c r="AB276" s="5"/>
      <c r="AC276" s="5"/>
    </row>
    <row r="277" spans="1:30">
      <c r="A277" s="93" t="str">
        <f t="shared" si="335"/>
        <v/>
      </c>
      <c r="C277" s="283" t="s">
        <v>390</v>
      </c>
      <c r="D277" s="16"/>
      <c r="E277" s="560"/>
      <c r="F277" s="12"/>
      <c r="G277" s="12"/>
      <c r="H277" s="12"/>
      <c r="I277" s="575"/>
      <c r="J277" s="575"/>
      <c r="K277" s="119"/>
      <c r="L277" s="594"/>
      <c r="M277" s="595"/>
      <c r="N277" s="594"/>
      <c r="O277" s="596"/>
      <c r="P277" s="594"/>
      <c r="Q277" s="594"/>
      <c r="R277" s="594"/>
      <c r="S277" s="596"/>
      <c r="T277" s="598"/>
      <c r="U277" s="599"/>
      <c r="V277" s="597"/>
      <c r="W277" s="603"/>
      <c r="X277" s="594"/>
      <c r="Y277" s="594"/>
      <c r="Z277" s="604"/>
    </row>
    <row r="278" spans="1:30">
      <c r="A278" s="93">
        <f t="shared" si="335"/>
        <v>278</v>
      </c>
      <c r="C278" s="117"/>
      <c r="D278" s="167" t="s">
        <v>369</v>
      </c>
      <c r="E278" s="678">
        <v>1660000</v>
      </c>
      <c r="F278" s="12">
        <v>700000</v>
      </c>
      <c r="G278" s="12">
        <v>70000</v>
      </c>
      <c r="H278" s="12">
        <v>48</v>
      </c>
      <c r="I278" s="576">
        <v>46</v>
      </c>
      <c r="J278" s="575">
        <f t="shared" ref="J278:J280" si="356">100/I278</f>
        <v>2.1739130434782608</v>
      </c>
      <c r="K278" s="757" t="s">
        <v>147</v>
      </c>
      <c r="L278" s="594">
        <f>MROUND($E278*(1-$E$295/100)/F278,0.05)</f>
        <v>2.15</v>
      </c>
      <c r="M278" s="595">
        <f>MROUND($E278*(1+$E$295/100)/2*$F$304/100/$G278,0.05)</f>
        <v>1</v>
      </c>
      <c r="N278" s="600">
        <f>MROUND($E278*(1+$E$295/100)/2*$E$296/100/$G278,0.05)</f>
        <v>1.35</v>
      </c>
      <c r="O278" s="601">
        <f t="shared" ref="O278:O280" si="357">SUM(L278:N278)</f>
        <v>4.5</v>
      </c>
      <c r="P278" s="602">
        <f>MROUND(1/$J278*IF(K278="Petrol",Petrol.Handel,$E$297),0.05)</f>
        <v>5.65</v>
      </c>
      <c r="Q278" s="594">
        <f>MROUND($E278*$H278/100/$F278,0.05)</f>
        <v>1.1500000000000001</v>
      </c>
      <c r="R278" s="600">
        <f t="shared" ref="R278:R280" si="358">MROUND(SUM(Z278),0.05)</f>
        <v>1.85</v>
      </c>
      <c r="S278" s="601">
        <f t="shared" ref="S278:S280" si="359">SUM(P278:R278)</f>
        <v>8.65</v>
      </c>
      <c r="T278" s="598">
        <f t="shared" ref="T278:T280" si="360">U278-P278</f>
        <v>7.5</v>
      </c>
      <c r="U278" s="599">
        <f t="shared" ref="U278:U280" si="361">S278+O278</f>
        <v>13.15</v>
      </c>
      <c r="V278" s="597"/>
      <c r="W278" s="603">
        <f>1/$J278*IF(C278&lt;=5,$F$330,$F$331)/100*$K$300</f>
        <v>0.25012500000000004</v>
      </c>
      <c r="X278" s="594">
        <f>AC278*AD278</f>
        <v>0.82000000000000006</v>
      </c>
      <c r="Y278" s="600">
        <f>SUM(P278,Q278,W278,X278)*$F$308/100</f>
        <v>0.7870125</v>
      </c>
      <c r="Z278" s="604">
        <f>SUM(W278:Y278)</f>
        <v>1.8571374999999999</v>
      </c>
      <c r="AB278" s="78" t="s">
        <v>154</v>
      </c>
      <c r="AC278" s="79">
        <v>9</v>
      </c>
      <c r="AD278" s="80">
        <f>VLOOKUP(AB278,$D$337:$F$341,COLUMNS($D$337:$F$337),FALSE)/$F$333</f>
        <v>9.1111111111111115E-2</v>
      </c>
    </row>
    <row r="279" spans="1:30">
      <c r="A279" s="93">
        <f t="shared" si="335"/>
        <v>279</v>
      </c>
      <c r="C279" s="117"/>
      <c r="D279" s="167" t="s">
        <v>370</v>
      </c>
      <c r="E279" s="678">
        <v>1875000</v>
      </c>
      <c r="F279" s="12">
        <v>700000</v>
      </c>
      <c r="G279" s="12">
        <v>70000</v>
      </c>
      <c r="H279" s="12">
        <v>48</v>
      </c>
      <c r="I279" s="576">
        <v>48</v>
      </c>
      <c r="J279" s="575">
        <f t="shared" si="356"/>
        <v>2.0833333333333335</v>
      </c>
      <c r="K279" s="757" t="s">
        <v>147</v>
      </c>
      <c r="L279" s="594">
        <f>MROUND($E279*(1-$E$295/100)/F279,0.05)</f>
        <v>2.4000000000000004</v>
      </c>
      <c r="M279" s="595">
        <f>MROUND($E279*(1+$E$295/100)/2*$F$304/100/$G279,0.05)</f>
        <v>1.1000000000000001</v>
      </c>
      <c r="N279" s="600">
        <f>MROUND($E279*(1+$E$295/100)/2*$E$296/100/$G279,0.05)</f>
        <v>1.55</v>
      </c>
      <c r="O279" s="601">
        <f t="shared" si="357"/>
        <v>5.0500000000000007</v>
      </c>
      <c r="P279" s="602">
        <f>MROUND(1/$J279*IF(K279="Petrol",Petrol.Handel,$E$297),0.05)</f>
        <v>5.9</v>
      </c>
      <c r="Q279" s="594">
        <f>MROUND($E279*$H279/100/$F279,0.05)</f>
        <v>1.3</v>
      </c>
      <c r="R279" s="600">
        <f t="shared" si="358"/>
        <v>2.3000000000000003</v>
      </c>
      <c r="S279" s="601">
        <f t="shared" si="359"/>
        <v>9.5</v>
      </c>
      <c r="T279" s="598">
        <f t="shared" si="360"/>
        <v>8.65</v>
      </c>
      <c r="U279" s="599">
        <f t="shared" si="361"/>
        <v>14.55</v>
      </c>
      <c r="V279" s="597"/>
      <c r="W279" s="603">
        <f>1/$J279*IF(C279&lt;=5,$F$330,$F$331)/100*$K$300</f>
        <v>0.26100000000000001</v>
      </c>
      <c r="X279" s="594">
        <f>AC279*AD279</f>
        <v>1.1844444444444444</v>
      </c>
      <c r="Y279" s="600">
        <f>SUM(P279,Q279,W279,X279)*$F$308/100</f>
        <v>0.86454444444444445</v>
      </c>
      <c r="Z279" s="604">
        <f>SUM(W279:Y279)</f>
        <v>2.3099888888888889</v>
      </c>
      <c r="AB279" s="78" t="s">
        <v>154</v>
      </c>
      <c r="AC279" s="79">
        <v>13</v>
      </c>
      <c r="AD279" s="80">
        <f>VLOOKUP(AB279,$D$337:$F$341,COLUMNS($D$337:$F$337),FALSE)/$F$333</f>
        <v>9.1111111111111115E-2</v>
      </c>
    </row>
    <row r="280" spans="1:30">
      <c r="A280" s="93">
        <f t="shared" si="335"/>
        <v>280</v>
      </c>
      <c r="C280" s="117"/>
      <c r="D280" s="167" t="s">
        <v>371</v>
      </c>
      <c r="E280" s="678">
        <v>1990000</v>
      </c>
      <c r="F280" s="12">
        <v>700000</v>
      </c>
      <c r="G280" s="12">
        <v>70000</v>
      </c>
      <c r="H280" s="12">
        <v>48</v>
      </c>
      <c r="I280" s="576">
        <v>50</v>
      </c>
      <c r="J280" s="575">
        <f t="shared" si="356"/>
        <v>2</v>
      </c>
      <c r="K280" s="757" t="s">
        <v>147</v>
      </c>
      <c r="L280" s="594">
        <f>MROUND($E280*(1-$E$295/100)/F280,0.05)</f>
        <v>2.5500000000000003</v>
      </c>
      <c r="M280" s="595">
        <f>MROUND($E280*(1+$E$295/100)/2*$F$304/100/$G280,0.05)</f>
        <v>1.1500000000000001</v>
      </c>
      <c r="N280" s="600">
        <f>MROUND($E280*(1+$E$295/100)/2*$E$296/100/$G280,0.05)</f>
        <v>1.6500000000000001</v>
      </c>
      <c r="O280" s="601">
        <f t="shared" si="357"/>
        <v>5.3500000000000005</v>
      </c>
      <c r="P280" s="602">
        <f>MROUND(1/$J280*IF(K280="Petrol",Petrol.Handel,$E$297),0.05)</f>
        <v>6.15</v>
      </c>
      <c r="Q280" s="594">
        <f>MROUND($E280*$H280/100/$F280,0.05)</f>
        <v>1.35</v>
      </c>
      <c r="R280" s="600">
        <f t="shared" si="358"/>
        <v>2.85</v>
      </c>
      <c r="S280" s="601">
        <f t="shared" si="359"/>
        <v>10.35</v>
      </c>
      <c r="T280" s="598">
        <f t="shared" si="360"/>
        <v>9.5499999999999989</v>
      </c>
      <c r="U280" s="599">
        <f t="shared" si="361"/>
        <v>15.7</v>
      </c>
      <c r="V280" s="597"/>
      <c r="W280" s="603">
        <f>1/$J280*IF(C280&lt;=5,$F$330,$F$331)/100*$K$300</f>
        <v>0.27187499999999998</v>
      </c>
      <c r="X280" s="594">
        <f>AC280*AD280</f>
        <v>1.6400000000000001</v>
      </c>
      <c r="Y280" s="600">
        <f>SUM(P280,Q280,W280,X280)*$F$308/100</f>
        <v>0.94118750000000007</v>
      </c>
      <c r="Z280" s="604">
        <f>SUM(W280:Y280)</f>
        <v>2.8530625000000001</v>
      </c>
      <c r="AB280" s="78" t="s">
        <v>154</v>
      </c>
      <c r="AC280" s="79">
        <v>18</v>
      </c>
      <c r="AD280" s="80">
        <f>VLOOKUP(AB280,$D$337:$F$341,COLUMNS($D$337:$F$337),FALSE)/$F$333</f>
        <v>9.1111111111111115E-2</v>
      </c>
    </row>
    <row r="281" spans="1:30">
      <c r="A281" s="93" t="str">
        <f t="shared" si="335"/>
        <v/>
      </c>
      <c r="C281" s="86"/>
      <c r="D281" s="16"/>
      <c r="E281" s="562"/>
      <c r="F281" s="12"/>
      <c r="G281" s="12"/>
      <c r="H281" s="12"/>
      <c r="I281" s="575"/>
      <c r="J281" s="575"/>
      <c r="K281" s="119"/>
      <c r="L281" s="594"/>
      <c r="M281" s="595"/>
      <c r="N281" s="594"/>
      <c r="O281" s="596"/>
      <c r="P281" s="594"/>
      <c r="Q281" s="594"/>
      <c r="R281" s="594"/>
      <c r="S281" s="596"/>
      <c r="T281" s="598"/>
      <c r="U281" s="599"/>
      <c r="V281" s="597"/>
      <c r="W281" s="603"/>
      <c r="X281" s="594"/>
      <c r="Y281" s="594"/>
      <c r="Z281" s="604"/>
      <c r="AB281" s="5"/>
      <c r="AC281" s="5"/>
    </row>
    <row r="282" spans="1:30">
      <c r="A282" s="93" t="str">
        <f t="shared" si="335"/>
        <v/>
      </c>
      <c r="C282" s="284" t="s">
        <v>482</v>
      </c>
      <c r="D282" s="16"/>
      <c r="E282" s="560"/>
      <c r="F282" s="12"/>
      <c r="G282" s="12"/>
      <c r="H282" s="12"/>
      <c r="I282" s="575"/>
      <c r="J282" s="575"/>
      <c r="K282" s="119"/>
      <c r="L282" s="594"/>
      <c r="M282" s="595"/>
      <c r="N282" s="594"/>
      <c r="O282" s="596"/>
      <c r="P282" s="594"/>
      <c r="Q282" s="594"/>
      <c r="R282" s="594"/>
      <c r="S282" s="596"/>
      <c r="T282" s="598"/>
      <c r="U282" s="599"/>
      <c r="V282" s="597"/>
      <c r="W282" s="603"/>
      <c r="X282" s="594"/>
      <c r="Y282" s="594"/>
      <c r="Z282" s="604"/>
      <c r="AB282" s="5"/>
      <c r="AC282" s="5"/>
    </row>
    <row r="283" spans="1:30">
      <c r="A283" s="93">
        <f t="shared" si="335"/>
        <v>283</v>
      </c>
      <c r="C283" s="117"/>
      <c r="D283" s="167" t="s">
        <v>502</v>
      </c>
      <c r="E283" s="678">
        <v>1700000</v>
      </c>
      <c r="F283" s="12">
        <v>700000</v>
      </c>
      <c r="G283" s="12">
        <v>70000</v>
      </c>
      <c r="H283" s="12">
        <v>48</v>
      </c>
      <c r="I283" s="576">
        <v>45</v>
      </c>
      <c r="J283" s="575">
        <f t="shared" ref="J283" si="362">100/I283</f>
        <v>2.2222222222222223</v>
      </c>
      <c r="K283" s="757" t="s">
        <v>147</v>
      </c>
      <c r="L283" s="594">
        <f>MROUND($E283*(1-$E$295/100)/F283,0.05)</f>
        <v>2.2000000000000002</v>
      </c>
      <c r="M283" s="595">
        <f>MROUND($E283*(1+$E$295/100)/2*$F$304/100/$G283,0.05)</f>
        <v>1</v>
      </c>
      <c r="N283" s="600">
        <f>MROUND($E283*(1+$E$295/100)/2*$E$296/100/$G283,0.05)</f>
        <v>1.4000000000000001</v>
      </c>
      <c r="O283" s="601">
        <f>SUM(L283:N283)</f>
        <v>4.6000000000000005</v>
      </c>
      <c r="P283" s="602">
        <f>MROUND(1/$J283*IF(K283="Petrol",Petrol.Handel,$E$297),0.05)</f>
        <v>5.5500000000000007</v>
      </c>
      <c r="Q283" s="594">
        <f>MROUND($E283*$H283/100/$F283,0.05)</f>
        <v>1.1500000000000001</v>
      </c>
      <c r="R283" s="600">
        <f>MROUND(SUM(Z283),0.05)</f>
        <v>2.2000000000000002</v>
      </c>
      <c r="S283" s="601">
        <f>SUM(P283:R283)</f>
        <v>8.9000000000000021</v>
      </c>
      <c r="T283" s="598">
        <f t="shared" ref="T283" si="363">U283-P283</f>
        <v>7.9500000000000028</v>
      </c>
      <c r="U283" s="599">
        <f>S283+O283</f>
        <v>13.500000000000004</v>
      </c>
      <c r="V283" s="597"/>
      <c r="W283" s="603">
        <f>1/$J283*IF(C283&lt;=5,$F$330,$F$331)/100*$K$300</f>
        <v>0.24468749999999997</v>
      </c>
      <c r="X283" s="594">
        <f>AC283*AD283</f>
        <v>1.1413333333333333</v>
      </c>
      <c r="Y283" s="600">
        <f>SUM(P283,Q283,W283,X283)*$F$308/100</f>
        <v>0.8086020833333335</v>
      </c>
      <c r="Z283" s="604">
        <f>SUM(W283:Y283)</f>
        <v>2.1946229166666669</v>
      </c>
      <c r="AB283" s="78" t="s">
        <v>153</v>
      </c>
      <c r="AC283" s="79">
        <v>12</v>
      </c>
      <c r="AD283" s="80">
        <f>VLOOKUP(AB283,$D$337:$F$341,COLUMNS($D$337:$F$337),FALSE)/$F$333</f>
        <v>9.5111111111111105E-2</v>
      </c>
    </row>
    <row r="284" spans="1:30">
      <c r="A284" s="183"/>
      <c r="B284" s="69"/>
      <c r="C284" s="89"/>
      <c r="D284" s="2"/>
      <c r="E284" s="2"/>
      <c r="F284" s="2"/>
      <c r="G284" s="70"/>
      <c r="H284" s="70"/>
      <c r="I284" s="573"/>
      <c r="J284" s="573"/>
      <c r="K284" s="118"/>
      <c r="L284" s="585"/>
      <c r="M284" s="585"/>
      <c r="N284" s="585"/>
      <c r="O284" s="585"/>
      <c r="P284" s="585"/>
      <c r="Q284" s="585"/>
      <c r="R284" s="585"/>
      <c r="S284" s="585"/>
      <c r="T284" s="175"/>
      <c r="U284" s="586"/>
      <c r="V284" s="587"/>
      <c r="W284" s="591"/>
      <c r="X284" s="585"/>
      <c r="Y284" s="585"/>
      <c r="Z284" s="592"/>
      <c r="AA284" s="69"/>
      <c r="AB284" s="81"/>
      <c r="AC284" s="82"/>
      <c r="AD284" s="83"/>
    </row>
    <row r="285" spans="1:30" ht="6.75" customHeight="1">
      <c r="A285" s="93" t="str">
        <f t="shared" si="0"/>
        <v/>
      </c>
      <c r="C285" s="87"/>
      <c r="D285" s="88"/>
      <c r="E285" s="35"/>
      <c r="F285" s="35"/>
      <c r="G285" s="35"/>
      <c r="H285" s="35"/>
      <c r="I285" s="577"/>
      <c r="J285" s="577"/>
      <c r="K285" s="121"/>
      <c r="L285" s="605"/>
      <c r="M285" s="606"/>
      <c r="N285" s="605"/>
      <c r="O285" s="607"/>
      <c r="P285" s="605"/>
      <c r="Q285" s="605"/>
      <c r="R285" s="605"/>
      <c r="S285" s="607"/>
      <c r="T285" s="608"/>
      <c r="U285" s="609"/>
      <c r="V285" s="597"/>
      <c r="W285" s="610"/>
      <c r="X285" s="611"/>
      <c r="Y285" s="612"/>
      <c r="Z285" s="613"/>
      <c r="AB285" s="5"/>
      <c r="AC285" s="5"/>
    </row>
    <row r="286" spans="1:30">
      <c r="A286" s="93" t="str">
        <f t="shared" si="0"/>
        <v/>
      </c>
      <c r="B286" s="92"/>
      <c r="C286" s="92"/>
      <c r="D286" s="92"/>
      <c r="E286" s="564"/>
      <c r="F286" s="92"/>
      <c r="G286" s="92"/>
      <c r="H286" s="92"/>
      <c r="I286" s="92"/>
      <c r="J286" s="277"/>
      <c r="K286" s="114"/>
      <c r="L286" s="92"/>
      <c r="M286" s="92"/>
      <c r="N286" s="92"/>
      <c r="O286" s="92"/>
      <c r="P286" s="92"/>
      <c r="Q286" s="92"/>
      <c r="R286" s="92"/>
      <c r="S286" s="92"/>
      <c r="T286" s="169"/>
      <c r="U286" s="92"/>
      <c r="V286" s="92"/>
      <c r="W286" s="92"/>
      <c r="X286" s="92"/>
      <c r="Y286" s="92"/>
      <c r="Z286" s="109"/>
      <c r="AA286" s="92"/>
      <c r="AB286" s="5"/>
      <c r="AC286" s="5"/>
    </row>
    <row r="287" spans="1:30">
      <c r="K287" s="101"/>
      <c r="T287" s="167"/>
    </row>
    <row r="288" spans="1:30" s="452" customFormat="1" ht="23.25" customHeight="1" thickBot="1">
      <c r="A288" s="31"/>
      <c r="B288" s="5"/>
      <c r="C288" s="288" t="s">
        <v>40</v>
      </c>
      <c r="D288" s="289"/>
      <c r="E288" s="558"/>
      <c r="F288" s="291"/>
      <c r="G288" s="291"/>
      <c r="H288" s="291"/>
      <c r="I288" s="578"/>
      <c r="J288" s="578"/>
      <c r="K288" s="291"/>
      <c r="L288" s="579"/>
      <c r="M288" s="579"/>
      <c r="N288" s="579"/>
      <c r="O288" s="579"/>
      <c r="P288" s="579"/>
      <c r="Q288" s="579"/>
      <c r="R288" s="579"/>
      <c r="S288" s="579"/>
      <c r="T288" s="298"/>
      <c r="U288" s="580"/>
      <c r="V288" s="581"/>
      <c r="W288" s="582"/>
      <c r="X288" s="583"/>
      <c r="Y288" s="583"/>
      <c r="Z288" s="584"/>
      <c r="AA288" s="158"/>
      <c r="AB288" s="159"/>
      <c r="AC288" s="160"/>
      <c r="AD288" s="161"/>
    </row>
    <row r="289" spans="1:30">
      <c r="C289" s="2"/>
      <c r="D289" s="2"/>
      <c r="E289" s="557"/>
      <c r="F289" s="2"/>
      <c r="G289" s="2"/>
      <c r="H289" s="2"/>
      <c r="I289" s="2"/>
      <c r="J289" s="2"/>
      <c r="K289" s="76"/>
      <c r="L289" s="2"/>
      <c r="M289" s="2"/>
      <c r="N289" s="2"/>
      <c r="O289" s="2"/>
      <c r="P289" s="2"/>
      <c r="Q289" s="2"/>
      <c r="R289" s="2"/>
      <c r="S289" s="2"/>
      <c r="T289" s="153"/>
      <c r="U289" s="2"/>
    </row>
    <row r="290" spans="1:30">
      <c r="C290" s="14" t="s">
        <v>1210</v>
      </c>
      <c r="D290" s="2"/>
      <c r="E290" s="557"/>
      <c r="F290" s="2"/>
      <c r="G290" s="2"/>
      <c r="H290" s="2"/>
      <c r="I290" s="2"/>
      <c r="J290" s="2"/>
      <c r="K290" s="76"/>
      <c r="L290" s="2"/>
      <c r="M290" s="2"/>
      <c r="N290" s="2"/>
      <c r="O290" s="2"/>
      <c r="P290" s="2"/>
      <c r="Q290" s="2"/>
      <c r="R290" s="2"/>
      <c r="S290" s="2"/>
      <c r="T290" s="153"/>
      <c r="U290" s="2"/>
    </row>
    <row r="291" spans="1:30">
      <c r="C291" s="14"/>
      <c r="D291" s="2"/>
      <c r="E291" s="557"/>
      <c r="F291" s="2"/>
      <c r="G291" s="2"/>
      <c r="H291" s="2"/>
      <c r="I291" s="2"/>
      <c r="J291" s="2"/>
      <c r="K291" s="76"/>
      <c r="L291" s="2"/>
      <c r="M291" s="2"/>
      <c r="N291" s="2"/>
      <c r="O291" s="2"/>
      <c r="P291" s="2"/>
      <c r="Q291" s="2"/>
      <c r="R291" s="2"/>
      <c r="S291" s="2"/>
      <c r="T291" s="153"/>
      <c r="U291" s="2"/>
    </row>
    <row r="292" spans="1:30">
      <c r="C292" s="3">
        <v>1</v>
      </c>
      <c r="D292" s="2" t="s">
        <v>67</v>
      </c>
      <c r="E292" s="557"/>
      <c r="G292" s="2"/>
      <c r="H292" s="2"/>
      <c r="I292" s="2"/>
      <c r="J292" s="2"/>
      <c r="K292" s="2"/>
      <c r="L292" s="76"/>
      <c r="M292" s="2"/>
      <c r="N292" s="2"/>
      <c r="O292" s="2"/>
      <c r="P292" s="2"/>
      <c r="Q292" s="2"/>
      <c r="R292" s="2"/>
      <c r="S292" s="2"/>
      <c r="T292" s="153"/>
      <c r="U292" s="2"/>
      <c r="V292" s="2"/>
    </row>
    <row r="293" spans="1:30">
      <c r="C293" s="3">
        <f>MAX($C$292:C292)+1</f>
        <v>2</v>
      </c>
      <c r="D293" s="2" t="s">
        <v>59</v>
      </c>
      <c r="E293" s="557"/>
      <c r="G293" s="2"/>
      <c r="H293" s="2"/>
      <c r="I293" s="2"/>
      <c r="J293" s="2"/>
      <c r="K293" s="2"/>
      <c r="L293" s="76"/>
      <c r="M293" s="2"/>
      <c r="N293" s="2"/>
      <c r="O293" s="2"/>
      <c r="P293" s="2"/>
      <c r="Q293" s="2"/>
      <c r="R293" s="2"/>
      <c r="S293" s="2"/>
      <c r="T293" s="153"/>
      <c r="U293" s="2"/>
      <c r="V293" s="2"/>
    </row>
    <row r="294" spans="1:30">
      <c r="C294" s="3">
        <f>MAX($C$292:C293)+1</f>
        <v>3</v>
      </c>
      <c r="D294" s="2" t="s">
        <v>524</v>
      </c>
      <c r="E294" s="557"/>
      <c r="G294" s="2"/>
      <c r="H294" s="2"/>
      <c r="I294" s="2"/>
      <c r="J294" s="2"/>
      <c r="K294" s="2"/>
      <c r="L294" s="76"/>
      <c r="M294" s="2"/>
      <c r="N294" s="2"/>
      <c r="O294" s="2"/>
      <c r="P294" s="2"/>
      <c r="Q294" s="2"/>
      <c r="R294" s="2"/>
      <c r="S294" s="2"/>
      <c r="T294" s="153"/>
      <c r="U294" s="2"/>
      <c r="V294" s="2"/>
      <c r="X294" s="2"/>
    </row>
    <row r="295" spans="1:30">
      <c r="C295" s="3">
        <f>MAX($C$292:C294)+1</f>
        <v>4</v>
      </c>
      <c r="D295" s="2" t="s">
        <v>58</v>
      </c>
      <c r="E295" s="566">
        <f>Skroot.Perc</f>
        <v>10</v>
      </c>
      <c r="F295" s="2" t="s">
        <v>97</v>
      </c>
      <c r="G295" s="2"/>
      <c r="H295" s="2"/>
      <c r="I295" s="2"/>
      <c r="J295" s="2"/>
      <c r="K295" s="2"/>
      <c r="L295" s="2"/>
      <c r="M295" s="69"/>
      <c r="N295" s="2"/>
      <c r="O295" s="2"/>
      <c r="P295" s="2"/>
      <c r="Q295" s="69"/>
      <c r="S295" s="2"/>
      <c r="T295" s="153"/>
      <c r="U295" s="2"/>
      <c r="V295" s="2"/>
      <c r="X295" s="2"/>
    </row>
    <row r="296" spans="1:30">
      <c r="C296" s="3">
        <f>MAX($C$292:C295)+1</f>
        <v>5</v>
      </c>
      <c r="D296" s="2" t="s">
        <v>525</v>
      </c>
      <c r="E296" s="566">
        <f>Rente.Perc</f>
        <v>10.5</v>
      </c>
      <c r="F296" s="2" t="s">
        <v>98</v>
      </c>
      <c r="G296" s="2"/>
      <c r="H296" s="2"/>
      <c r="I296" s="2"/>
      <c r="J296" s="2"/>
      <c r="K296" s="2"/>
      <c r="L296" s="2"/>
      <c r="M296" s="69"/>
      <c r="N296" s="2"/>
      <c r="O296" s="2"/>
      <c r="P296" s="2"/>
      <c r="Q296" s="69"/>
      <c r="S296" s="2"/>
      <c r="T296" s="153"/>
      <c r="U296" s="2"/>
      <c r="V296" s="2"/>
      <c r="X296" s="2"/>
    </row>
    <row r="297" spans="1:30">
      <c r="C297" s="3">
        <f>MAX($C$292:C296)+1</f>
        <v>6</v>
      </c>
      <c r="D297" s="153" t="s">
        <v>386</v>
      </c>
      <c r="E297" s="955">
        <f>K297</f>
        <v>12.3</v>
      </c>
      <c r="F297" s="2" t="s">
        <v>57</v>
      </c>
      <c r="G297" s="2" t="str">
        <f>Aannames!D60</f>
        <v xml:space="preserve">Dieselprys (Handel) = </v>
      </c>
      <c r="H297" s="69"/>
      <c r="I297" s="69"/>
      <c r="J297" s="69"/>
      <c r="K297" s="954">
        <f>Diesel.Handel</f>
        <v>12.3</v>
      </c>
      <c r="L297" s="184" t="str">
        <f>Aannames!G60</f>
        <v>per liter</v>
      </c>
      <c r="M297" s="69"/>
      <c r="N297" s="2"/>
      <c r="O297" s="2"/>
      <c r="Q297" s="69"/>
      <c r="T297" s="153"/>
      <c r="U297" s="2"/>
      <c r="V297" s="2"/>
      <c r="X297" s="2"/>
      <c r="AB297" s="5"/>
      <c r="AC297" s="5"/>
      <c r="AD297" s="5"/>
    </row>
    <row r="298" spans="1:30">
      <c r="C298" s="3"/>
      <c r="D298" s="153" t="s">
        <v>1127</v>
      </c>
      <c r="E298" s="567"/>
      <c r="F298" s="2"/>
      <c r="G298" s="2" t="str">
        <f>Aannames!D61</f>
        <v>Dieselkorting =</v>
      </c>
      <c r="H298" s="69"/>
      <c r="I298" s="69"/>
      <c r="J298" s="69"/>
      <c r="K298" s="185">
        <f>Diesel.Korting.Sent</f>
        <v>290</v>
      </c>
      <c r="L298" s="2" t="str">
        <f>Aannames!$G$61</f>
        <v>sent per liter x 80% =</v>
      </c>
      <c r="M298" s="2"/>
      <c r="N298" s="185">
        <f>Aannames!$I$61</f>
        <v>232</v>
      </c>
      <c r="O298" s="2" t="str">
        <f>Aannames!$J$61</f>
        <v>sent/liter</v>
      </c>
      <c r="Q298" s="69"/>
      <c r="T298" s="153"/>
      <c r="U298" s="2"/>
      <c r="V298" s="2"/>
      <c r="X298" s="2"/>
      <c r="AB298" s="5"/>
      <c r="AC298" s="5"/>
      <c r="AD298" s="5"/>
    </row>
    <row r="299" spans="1:30">
      <c r="A299" s="139"/>
      <c r="C299" s="3"/>
      <c r="D299" s="2"/>
      <c r="E299" s="567"/>
      <c r="F299" s="2"/>
      <c r="G299" s="2" t="str">
        <f>Aannames!D62</f>
        <v>Dieselprys (na korting) =</v>
      </c>
      <c r="H299" s="69"/>
      <c r="I299" s="69"/>
      <c r="J299" s="69"/>
      <c r="K299" s="950">
        <f>K297-N298/100</f>
        <v>9.98</v>
      </c>
      <c r="L299" s="184" t="str">
        <f>Aannames!G62</f>
        <v>per liter</v>
      </c>
      <c r="M299" s="2"/>
      <c r="N299" s="2"/>
      <c r="O299" s="2"/>
      <c r="P299" s="2" t="str">
        <f>Aannames!$K59</f>
        <v>(290.00c x 80% soos vanaf April 2017)</v>
      </c>
      <c r="Q299" s="69"/>
      <c r="T299" s="153"/>
      <c r="U299" s="2"/>
      <c r="V299" s="2"/>
      <c r="X299" s="2"/>
      <c r="AB299" s="5"/>
      <c r="AC299" s="5"/>
      <c r="AD299" s="5"/>
    </row>
    <row r="300" spans="1:30" s="227" customFormat="1">
      <c r="A300" s="68"/>
      <c r="B300" s="68"/>
      <c r="C300" s="3">
        <f>MAX($C$292:C299)+1</f>
        <v>7</v>
      </c>
      <c r="D300" s="103" t="s">
        <v>162</v>
      </c>
      <c r="E300" s="955">
        <f>Aannames!F67</f>
        <v>725</v>
      </c>
      <c r="F300" s="226" t="s">
        <v>250</v>
      </c>
      <c r="K300" s="953">
        <f>E300/20</f>
        <v>36.25</v>
      </c>
      <c r="L300" s="229" t="str">
        <f>Aannames!L67</f>
        <v>per 1 liter olie</v>
      </c>
      <c r="O300" s="84"/>
      <c r="P300" s="2" t="str">
        <f>Aannames!$K60</f>
        <v>(270.00c x 80% soos vanaf April 2016)</v>
      </c>
      <c r="Q300" s="230"/>
      <c r="S300" s="102"/>
      <c r="T300" s="270"/>
      <c r="U300" s="102"/>
      <c r="V300" s="102"/>
      <c r="W300" s="102"/>
      <c r="X300" s="2"/>
      <c r="Y300" s="5"/>
      <c r="Z300" s="110"/>
      <c r="AA300" s="68"/>
      <c r="AB300" s="68"/>
      <c r="AC300" s="68"/>
      <c r="AD300" s="68"/>
    </row>
    <row r="301" spans="1:30">
      <c r="C301" s="3"/>
      <c r="D301" s="2"/>
      <c r="E301" s="557"/>
      <c r="F301" s="231"/>
      <c r="G301" s="2"/>
      <c r="H301" s="29"/>
      <c r="I301" s="2"/>
      <c r="J301" s="2"/>
      <c r="K301" s="2"/>
      <c r="L301" s="69"/>
      <c r="M301" s="69"/>
      <c r="N301" s="69"/>
      <c r="O301" s="69"/>
      <c r="P301" s="2" t="str">
        <f>Aannames!$K61</f>
        <v>(250.00c x 80% soos vanaf April 2015)</v>
      </c>
      <c r="Q301" s="69"/>
      <c r="R301" s="69"/>
      <c r="S301" s="2"/>
      <c r="T301" s="153"/>
      <c r="U301" s="2"/>
      <c r="V301" s="2"/>
      <c r="X301" s="2"/>
      <c r="AB301" s="5"/>
      <c r="AC301" s="5"/>
      <c r="AD301" s="5"/>
    </row>
    <row r="302" spans="1:30">
      <c r="C302" s="14" t="s">
        <v>513</v>
      </c>
      <c r="D302" s="2"/>
      <c r="E302" s="557"/>
      <c r="F302" s="9"/>
      <c r="G302" s="2"/>
      <c r="K302" s="94"/>
      <c r="L302" s="2"/>
      <c r="M302" s="2"/>
      <c r="O302" s="2"/>
      <c r="P302" s="2" t="str">
        <f>Aannames!$K62</f>
        <v>(187.80c x 80% soos vanaf April 2014)</v>
      </c>
      <c r="Q302" s="2"/>
      <c r="S302" s="2"/>
      <c r="T302" s="153"/>
      <c r="U302" s="2"/>
      <c r="V302" s="2"/>
      <c r="X302" s="2"/>
    </row>
    <row r="303" spans="1:30">
      <c r="C303" s="14"/>
      <c r="D303" s="2"/>
      <c r="E303" s="557"/>
      <c r="F303" s="9"/>
      <c r="G303" s="2"/>
      <c r="H303" s="2"/>
      <c r="I303" s="2"/>
      <c r="J303" s="2"/>
      <c r="K303" s="2"/>
      <c r="L303" s="2"/>
      <c r="M303" s="2"/>
      <c r="N303" s="69"/>
      <c r="O303" s="2"/>
      <c r="P303" s="2" t="str">
        <f>Aannames!$K63</f>
        <v>(175.00c x 80% soos vanaf April 2013)</v>
      </c>
      <c r="Q303" s="2"/>
      <c r="S303" s="2"/>
      <c r="T303" s="153"/>
      <c r="U303" s="2"/>
      <c r="V303" s="2"/>
      <c r="X303" s="2"/>
    </row>
    <row r="304" spans="1:30">
      <c r="C304" s="3">
        <f>MAX($C$292:C303)+1</f>
        <v>8</v>
      </c>
      <c r="D304" s="153" t="str">
        <f>Aannames!C182</f>
        <v xml:space="preserve">Versekering en lisensie (R/Km) = </v>
      </c>
      <c r="E304" s="557"/>
      <c r="F304" s="9">
        <f>Aannames!F182</f>
        <v>7.5</v>
      </c>
      <c r="G304" s="153" t="str">
        <f>Aannames!G182</f>
        <v>% van Gemiddelde belegging ÷ kilometer gebruik per jaar</v>
      </c>
      <c r="H304" s="69"/>
      <c r="I304" s="69"/>
      <c r="J304" s="69"/>
      <c r="K304" s="69"/>
      <c r="L304" s="2"/>
      <c r="M304" s="2"/>
      <c r="N304" s="69"/>
      <c r="O304" s="2"/>
      <c r="P304" s="2"/>
      <c r="Q304" s="2"/>
      <c r="S304" s="2"/>
      <c r="T304" s="153"/>
      <c r="U304" s="2"/>
      <c r="V304" s="2"/>
      <c r="X304" s="2"/>
    </row>
    <row r="305" spans="1:30">
      <c r="C305" s="3">
        <f>MAX($C$292:C304)+1</f>
        <v>9</v>
      </c>
      <c r="D305" s="153" t="str">
        <f>Aannames!C183</f>
        <v>Herstel &amp; onderhoud (R/Km) =</v>
      </c>
      <c r="E305" s="557"/>
      <c r="F305" s="40" t="s">
        <v>116</v>
      </c>
      <c r="G305" s="153" t="str">
        <f>Aannames!G183</f>
        <v>% van Aankoopprys ÷ Leeftyd in kilometer</v>
      </c>
      <c r="H305" s="2"/>
      <c r="I305" s="2"/>
      <c r="J305" s="2"/>
      <c r="K305" s="2"/>
      <c r="L305" s="2"/>
      <c r="M305" s="2"/>
      <c r="N305" s="69"/>
      <c r="O305" s="2"/>
      <c r="P305" s="2"/>
      <c r="Q305" s="2"/>
      <c r="S305" s="2"/>
      <c r="T305" s="153"/>
      <c r="U305" s="2"/>
      <c r="V305" s="2"/>
      <c r="X305" s="2"/>
    </row>
    <row r="306" spans="1:30">
      <c r="C306" s="3">
        <f>MAX($C$292:C305)+1</f>
        <v>10</v>
      </c>
      <c r="D306" s="153" t="str">
        <f>Aannames!C184</f>
        <v>Leeftyd in kilometer en Jaarlikse gebruik is spesifiek tot elke voertuig.</v>
      </c>
      <c r="E306" s="557"/>
      <c r="F306" s="39"/>
      <c r="G306" s="2"/>
      <c r="H306" s="2"/>
      <c r="I306" s="2"/>
      <c r="J306" s="2"/>
      <c r="K306" s="2"/>
      <c r="L306" s="2"/>
      <c r="M306" s="2"/>
      <c r="N306" s="69"/>
      <c r="O306" s="2"/>
      <c r="P306" s="2"/>
      <c r="Q306" s="2"/>
      <c r="S306" s="2"/>
      <c r="T306" s="153"/>
      <c r="U306" s="2"/>
      <c r="V306" s="2"/>
      <c r="X306" s="2"/>
    </row>
    <row r="307" spans="1:30">
      <c r="F307" s="69"/>
      <c r="G307" s="69"/>
      <c r="H307" s="69"/>
      <c r="I307" s="69"/>
      <c r="J307" s="69"/>
      <c r="K307" s="69"/>
      <c r="L307" s="69"/>
      <c r="M307" s="69"/>
      <c r="N307" s="69"/>
      <c r="O307" s="69"/>
      <c r="P307" s="69"/>
      <c r="X307" s="2"/>
    </row>
    <row r="308" spans="1:30">
      <c r="A308" s="68"/>
      <c r="C308" s="3">
        <f>MAX($C$292:C307)+1</f>
        <v>11</v>
      </c>
      <c r="D308" s="124" t="s">
        <v>158</v>
      </c>
      <c r="E308" s="568"/>
      <c r="F308" s="234">
        <f>Aannames!E186</f>
        <v>10</v>
      </c>
      <c r="G308" s="235" t="s">
        <v>607</v>
      </c>
      <c r="H308" s="69"/>
      <c r="I308" s="69"/>
      <c r="J308" s="69"/>
      <c r="K308" s="235"/>
      <c r="L308" s="235"/>
      <c r="M308" s="69"/>
      <c r="N308" s="69"/>
      <c r="O308" s="69"/>
      <c r="P308" s="69"/>
      <c r="X308" s="2"/>
      <c r="AB308" s="5"/>
      <c r="AC308" s="68"/>
      <c r="AD308" s="123"/>
    </row>
    <row r="309" spans="1:30" s="238" customFormat="1">
      <c r="A309" s="92"/>
      <c r="B309" s="77"/>
      <c r="C309" s="113"/>
      <c r="D309" s="112"/>
      <c r="E309" s="569"/>
      <c r="F309" s="236"/>
      <c r="G309" s="236"/>
      <c r="H309" s="236"/>
      <c r="I309" s="237"/>
      <c r="J309" s="237"/>
      <c r="K309" s="237"/>
      <c r="L309" s="237"/>
      <c r="Q309" s="77"/>
      <c r="R309" s="77"/>
      <c r="S309" s="77"/>
      <c r="T309" s="77"/>
      <c r="U309" s="77"/>
      <c r="V309" s="77"/>
      <c r="W309" s="77"/>
      <c r="X309" s="2"/>
      <c r="Y309" s="5"/>
      <c r="Z309" s="67"/>
      <c r="AA309" s="77"/>
      <c r="AB309" s="77"/>
      <c r="AC309" s="92"/>
      <c r="AD309" s="85"/>
    </row>
    <row r="310" spans="1:30" s="238" customFormat="1">
      <c r="A310" s="92"/>
      <c r="B310" s="77"/>
      <c r="C310" s="3">
        <f>MAX($C$292:C309)+1</f>
        <v>12</v>
      </c>
      <c r="D310" s="129" t="str">
        <f>Aannames!C188</f>
        <v>Bandkoste per kilometer =</v>
      </c>
      <c r="E310" s="570"/>
      <c r="F310" s="239" t="s">
        <v>156</v>
      </c>
      <c r="H310" s="69"/>
      <c r="I310" s="236"/>
      <c r="J310" s="236"/>
      <c r="K310" s="236"/>
      <c r="L310" s="236"/>
      <c r="Q310" s="77"/>
      <c r="R310" s="77"/>
      <c r="S310" s="77"/>
      <c r="T310" s="77"/>
      <c r="U310" s="77"/>
      <c r="V310" s="77"/>
      <c r="W310" s="77"/>
      <c r="X310" s="2"/>
      <c r="Y310" s="5"/>
      <c r="Z310" s="67"/>
      <c r="AA310" s="77"/>
      <c r="AB310" s="77"/>
      <c r="AC310" s="92"/>
      <c r="AD310" s="85"/>
    </row>
    <row r="311" spans="1:30" s="238" customFormat="1">
      <c r="A311" s="92"/>
      <c r="B311" s="77"/>
      <c r="C311" s="111"/>
      <c r="D311" s="112"/>
      <c r="E311" s="569"/>
      <c r="F311" s="236"/>
      <c r="G311" s="236"/>
      <c r="H311" s="240"/>
      <c r="I311" s="236"/>
      <c r="J311" s="236"/>
      <c r="K311" s="236"/>
      <c r="L311" s="236"/>
      <c r="Q311" s="77"/>
      <c r="R311" s="77"/>
      <c r="S311" s="77"/>
      <c r="T311" s="77"/>
      <c r="U311" s="77"/>
      <c r="V311" s="77"/>
      <c r="W311" s="77"/>
      <c r="X311" s="2"/>
      <c r="Y311" s="5"/>
      <c r="Z311" s="67"/>
      <c r="AA311" s="77"/>
      <c r="AB311" s="77"/>
      <c r="AC311" s="92"/>
      <c r="AD311" s="85"/>
    </row>
    <row r="312" spans="1:30" ht="15">
      <c r="C312" s="14" t="s">
        <v>144</v>
      </c>
      <c r="F312" s="69"/>
      <c r="G312" s="228"/>
      <c r="H312" s="69"/>
      <c r="I312" s="69"/>
      <c r="J312" s="69"/>
      <c r="K312" s="69"/>
      <c r="L312" s="69"/>
      <c r="M312" s="69"/>
      <c r="N312" s="69"/>
      <c r="O312" s="187"/>
      <c r="P312" s="187"/>
      <c r="R312"/>
      <c r="X312" s="2"/>
    </row>
    <row r="313" spans="1:30" ht="15">
      <c r="C313" s="14"/>
      <c r="F313" s="69"/>
      <c r="G313" s="228"/>
      <c r="H313" s="69"/>
      <c r="I313" s="69"/>
      <c r="J313" s="69"/>
      <c r="K313" s="69"/>
      <c r="L313" s="69"/>
      <c r="M313" s="69"/>
      <c r="N313" s="69"/>
      <c r="O313" s="187"/>
      <c r="P313" s="187"/>
      <c r="R313"/>
      <c r="X313" s="2"/>
    </row>
    <row r="314" spans="1:30" ht="15">
      <c r="A314" s="68"/>
      <c r="C314" s="3">
        <f>MAX($C$292:C313)+1</f>
        <v>13</v>
      </c>
      <c r="D314" s="124" t="s">
        <v>164</v>
      </c>
      <c r="E314" s="571"/>
      <c r="F314" s="246">
        <f>Aannames!E192</f>
        <v>1</v>
      </c>
      <c r="G314" s="228" t="str">
        <f>Aannames!F192</f>
        <v>% van brandstof-verbruik vir alle bakkies.</v>
      </c>
      <c r="H314" s="69"/>
      <c r="I314" s="69"/>
      <c r="J314" s="69"/>
      <c r="K314" s="228"/>
      <c r="L314" s="228"/>
      <c r="M314" s="247"/>
      <c r="N314" s="69"/>
      <c r="O314" s="187"/>
      <c r="P314" s="187"/>
      <c r="Q314" s="1"/>
      <c r="X314" s="2"/>
      <c r="AB314" s="5"/>
      <c r="AC314" s="68"/>
      <c r="AD314" s="123"/>
    </row>
    <row r="315" spans="1:30" ht="15">
      <c r="A315" s="68"/>
      <c r="C315" s="3"/>
      <c r="D315" s="100"/>
      <c r="E315" s="571"/>
      <c r="F315" s="248"/>
      <c r="G315" s="248"/>
      <c r="H315" s="248"/>
      <c r="I315" s="69"/>
      <c r="J315" s="69"/>
      <c r="K315" s="228"/>
      <c r="L315" s="228"/>
      <c r="M315" s="247"/>
      <c r="N315" s="69"/>
      <c r="O315" s="187"/>
      <c r="P315" s="187"/>
      <c r="Q315" s="1"/>
      <c r="X315" s="2"/>
      <c r="AB315" s="5"/>
      <c r="AC315" s="68"/>
      <c r="AD315" s="123"/>
    </row>
    <row r="316" spans="1:30" ht="15">
      <c r="A316" s="68"/>
      <c r="C316" s="3">
        <f>MAX($C$292:C315)+1</f>
        <v>14</v>
      </c>
      <c r="D316" s="103" t="s">
        <v>165</v>
      </c>
      <c r="E316" s="571"/>
      <c r="F316" s="244">
        <f>Aannames!E194</f>
        <v>50000</v>
      </c>
      <c r="G316" s="235" t="s">
        <v>137</v>
      </c>
      <c r="H316" s="69"/>
      <c r="I316" s="69"/>
      <c r="J316" s="69"/>
      <c r="K316" s="249"/>
      <c r="L316" s="248"/>
      <c r="M316" s="248"/>
      <c r="N316" s="69"/>
      <c r="O316" s="187"/>
      <c r="P316" s="187"/>
      <c r="Q316" s="1"/>
      <c r="X316" s="2"/>
      <c r="AB316" s="5"/>
      <c r="AC316" s="68"/>
      <c r="AD316" s="123"/>
    </row>
    <row r="317" spans="1:30" ht="15">
      <c r="A317" s="68"/>
      <c r="C317" s="3"/>
      <c r="D317" s="103"/>
      <c r="E317" s="571"/>
      <c r="F317" s="248"/>
      <c r="G317" s="249"/>
      <c r="H317" s="69"/>
      <c r="I317" s="69"/>
      <c r="J317" s="69"/>
      <c r="K317" s="249"/>
      <c r="L317" s="248"/>
      <c r="M317" s="248"/>
      <c r="N317" s="69"/>
      <c r="O317" s="187"/>
      <c r="P317" s="187"/>
      <c r="Q317" s="1"/>
      <c r="AB317" s="5"/>
      <c r="AC317" s="68"/>
      <c r="AD317" s="123"/>
    </row>
    <row r="318" spans="1:30" ht="15">
      <c r="A318" s="68"/>
      <c r="C318" s="3">
        <f>MAX($C$292:C317)+1</f>
        <v>15</v>
      </c>
      <c r="D318" s="103" t="s">
        <v>168</v>
      </c>
      <c r="E318" s="571"/>
      <c r="F318" s="248"/>
      <c r="G318" s="249"/>
      <c r="H318" s="69"/>
      <c r="I318" s="69"/>
      <c r="J318" s="69"/>
      <c r="K318" s="249"/>
      <c r="L318" s="248"/>
      <c r="M318" s="248"/>
      <c r="N318" s="69"/>
      <c r="O318" s="187"/>
      <c r="P318" s="187"/>
      <c r="Q318" s="1"/>
      <c r="AB318" s="5"/>
      <c r="AC318" s="68"/>
      <c r="AD318" s="123"/>
    </row>
    <row r="319" spans="1:30" ht="15">
      <c r="A319" s="68"/>
      <c r="C319" s="99"/>
      <c r="D319" s="126" t="s">
        <v>166</v>
      </c>
      <c r="F319" s="245" t="s">
        <v>167</v>
      </c>
      <c r="G319" s="249"/>
      <c r="H319" s="250"/>
      <c r="I319" s="227"/>
      <c r="J319" s="227"/>
      <c r="K319" s="227"/>
      <c r="L319" s="227"/>
      <c r="M319" s="245" t="s">
        <v>897</v>
      </c>
      <c r="N319" s="69"/>
      <c r="P319" s="187"/>
      <c r="Q319" s="1"/>
      <c r="AB319" s="5"/>
      <c r="AC319" s="68"/>
      <c r="AD319" s="123"/>
    </row>
    <row r="320" spans="1:30">
      <c r="A320" s="68"/>
      <c r="C320" s="99"/>
      <c r="D320" s="127" t="str">
        <f>Aannames!C198</f>
        <v>265  R 16</v>
      </c>
      <c r="F320" s="952">
        <f>Aannames!F198</f>
        <v>1700</v>
      </c>
      <c r="G320" s="69" t="s">
        <v>136</v>
      </c>
      <c r="H320" s="69"/>
      <c r="I320" s="951">
        <f>F320/$F$316</f>
        <v>3.4000000000000002E-2</v>
      </c>
      <c r="J320" s="69" t="str">
        <f>Aannames!I198</f>
        <v>per band per kilometer</v>
      </c>
      <c r="L320" s="69"/>
      <c r="M320" s="512" t="str">
        <f>Aannames!K198</f>
        <v>3000+ CC Bakkies</v>
      </c>
      <c r="N320" s="69"/>
      <c r="P320" s="187"/>
      <c r="AB320" s="5"/>
      <c r="AC320" s="68"/>
      <c r="AD320" s="123"/>
    </row>
    <row r="321" spans="1:30">
      <c r="A321" s="68"/>
      <c r="C321" s="99"/>
      <c r="D321" s="128"/>
      <c r="E321" s="572"/>
      <c r="F321" s="231"/>
      <c r="G321" s="227"/>
      <c r="H321" s="248"/>
      <c r="I321" s="248"/>
      <c r="J321" s="248"/>
      <c r="K321" s="248"/>
      <c r="L321" s="248"/>
      <c r="M321" s="248"/>
      <c r="N321" s="69"/>
      <c r="O321" s="69"/>
      <c r="P321" s="69"/>
      <c r="AB321" s="5"/>
      <c r="AC321" s="68"/>
      <c r="AD321" s="123"/>
    </row>
    <row r="322" spans="1:30">
      <c r="A322" s="68"/>
      <c r="C322" s="3"/>
      <c r="D322" s="103"/>
      <c r="E322" s="571"/>
      <c r="G322" s="100"/>
      <c r="H322" s="100"/>
      <c r="I322" s="100"/>
      <c r="J322" s="100"/>
      <c r="K322" s="103"/>
      <c r="L322" s="103"/>
      <c r="M322" s="100"/>
      <c r="N322" s="100"/>
      <c r="AB322" s="5"/>
      <c r="AC322" s="68"/>
      <c r="AD322" s="123"/>
    </row>
    <row r="323" spans="1:30">
      <c r="C323" s="14" t="str">
        <f>Aannames!B200</f>
        <v>Spesifiek tot vragmotors alleenlik</v>
      </c>
      <c r="F323" s="69"/>
      <c r="G323" s="69"/>
      <c r="H323" s="69"/>
      <c r="I323" s="69"/>
      <c r="J323" s="69"/>
      <c r="K323" s="69"/>
      <c r="L323" s="69"/>
      <c r="M323" s="69"/>
      <c r="N323" s="69"/>
      <c r="O323" s="69"/>
      <c r="P323" s="69"/>
    </row>
    <row r="324" spans="1:30">
      <c r="F324" s="69"/>
      <c r="G324" s="69"/>
      <c r="H324" s="69"/>
      <c r="I324" s="69"/>
      <c r="J324" s="69"/>
      <c r="K324" s="69"/>
      <c r="L324" s="69"/>
      <c r="M324" s="69"/>
      <c r="N324" s="69"/>
      <c r="O324" s="69"/>
      <c r="P324" s="69"/>
    </row>
    <row r="325" spans="1:30">
      <c r="A325" s="310"/>
      <c r="C325" s="455">
        <f>MAX($C$292:C324)+1</f>
        <v>16</v>
      </c>
      <c r="D325" s="5" t="str">
        <f>Aannames!C202</f>
        <v>Herstel &amp; Onderhoud % vir vragmotors =</v>
      </c>
      <c r="F325" s="69"/>
      <c r="G325" s="69"/>
      <c r="H325" s="69"/>
      <c r="I325" s="69"/>
      <c r="J325" s="69"/>
      <c r="K325" s="69"/>
      <c r="L325" s="69"/>
      <c r="M325" s="69"/>
      <c r="N325" s="69"/>
      <c r="O325" s="69"/>
      <c r="P325" s="69"/>
      <c r="AC325" s="456"/>
    </row>
    <row r="326" spans="1:30">
      <c r="A326" s="310"/>
      <c r="D326" s="5" t="str">
        <f>Aannames!C203</f>
        <v>3-5 ton vragmotors</v>
      </c>
      <c r="F326" s="515">
        <f>Aannames!F203</f>
        <v>50</v>
      </c>
      <c r="G326" s="515" t="str">
        <f>Aannames!G203</f>
        <v>%</v>
      </c>
      <c r="H326" s="69"/>
      <c r="I326" s="69"/>
      <c r="J326" s="69"/>
      <c r="K326" s="69"/>
      <c r="L326" s="69"/>
      <c r="M326" s="69"/>
      <c r="N326" s="69"/>
      <c r="O326" s="69"/>
      <c r="P326" s="69"/>
      <c r="AC326" s="456"/>
    </row>
    <row r="327" spans="1:30">
      <c r="A327" s="310"/>
      <c r="D327" s="5" t="str">
        <f>Aannames!C204</f>
        <v>6-12.5 ton vragmotors</v>
      </c>
      <c r="F327" s="515">
        <f>Aannames!F204</f>
        <v>60</v>
      </c>
      <c r="G327" s="515" t="str">
        <f>Aannames!G204</f>
        <v>%</v>
      </c>
      <c r="H327" s="69"/>
      <c r="I327" s="69"/>
      <c r="J327" s="69"/>
      <c r="K327" s="69"/>
      <c r="L327" s="69"/>
      <c r="M327" s="69"/>
      <c r="N327" s="69"/>
      <c r="O327" s="69"/>
      <c r="P327" s="69"/>
      <c r="AC327" s="456"/>
    </row>
    <row r="328" spans="1:30">
      <c r="A328" s="310"/>
      <c r="D328" s="5" t="str">
        <f>Aannames!C205</f>
        <v>Meganisie perde met interlinks</v>
      </c>
      <c r="F328" s="515">
        <f>Aannames!F205</f>
        <v>48</v>
      </c>
      <c r="G328" s="515" t="str">
        <f>Aannames!G205</f>
        <v>%</v>
      </c>
      <c r="H328" s="69"/>
      <c r="I328" s="69"/>
      <c r="J328" s="69"/>
      <c r="K328" s="69"/>
      <c r="L328" s="69"/>
      <c r="M328" s="69"/>
      <c r="N328" s="69"/>
      <c r="O328" s="69"/>
      <c r="P328" s="69"/>
      <c r="AC328" s="456"/>
    </row>
    <row r="329" spans="1:30">
      <c r="A329" s="310"/>
      <c r="F329" s="69"/>
      <c r="G329" s="69"/>
      <c r="H329" s="69"/>
      <c r="I329" s="69"/>
      <c r="J329" s="69"/>
      <c r="K329" s="69"/>
      <c r="L329" s="69"/>
      <c r="M329" s="69"/>
      <c r="N329" s="69"/>
      <c r="O329" s="69"/>
      <c r="P329" s="69"/>
      <c r="AC329" s="456"/>
    </row>
    <row r="330" spans="1:30">
      <c r="A330" s="68"/>
      <c r="C330" s="455">
        <f>MAX($C$292:C329)+1</f>
        <v>17</v>
      </c>
      <c r="D330" s="124" t="str">
        <f>Aannames!C207</f>
        <v>Olie verbruik vir vragmotors:</v>
      </c>
      <c r="E330" s="568"/>
      <c r="F330" s="241">
        <f>Aannames!E207</f>
        <v>1.5</v>
      </c>
      <c r="G330" s="242" t="str">
        <f>Aannames!F207</f>
        <v>% van brandstof-verbruik vir vragmotors van 5 ton en kleiner</v>
      </c>
      <c r="H330" s="69"/>
      <c r="I330" s="69"/>
      <c r="J330" s="69"/>
      <c r="K330" s="69"/>
      <c r="L330" s="242"/>
      <c r="M330" s="69"/>
      <c r="N330" s="69"/>
      <c r="O330" s="69"/>
      <c r="P330" s="69"/>
      <c r="AB330" s="5"/>
      <c r="AC330" s="68"/>
      <c r="AD330" s="123"/>
    </row>
    <row r="331" spans="1:30">
      <c r="A331" s="68"/>
      <c r="C331" s="125"/>
      <c r="D331" s="124"/>
      <c r="E331" s="568"/>
      <c r="F331" s="241">
        <f>Aannames!E208</f>
        <v>2</v>
      </c>
      <c r="G331" s="242" t="str">
        <f>Aannames!F208</f>
        <v>% van brandstof-verbruik vir vragmotors van 6 ton en groter</v>
      </c>
      <c r="H331" s="69"/>
      <c r="I331" s="69"/>
      <c r="J331" s="69"/>
      <c r="K331" s="69"/>
      <c r="L331" s="242"/>
      <c r="M331" s="69"/>
      <c r="N331" s="69"/>
      <c r="O331" s="69"/>
      <c r="P331" s="69"/>
      <c r="AB331" s="5"/>
      <c r="AC331" s="68"/>
      <c r="AD331" s="123"/>
    </row>
    <row r="332" spans="1:30">
      <c r="A332" s="68"/>
      <c r="C332" s="125"/>
      <c r="D332" s="124"/>
      <c r="E332" s="568"/>
      <c r="F332" s="243"/>
      <c r="G332" s="243"/>
      <c r="H332" s="69"/>
      <c r="I332" s="69"/>
      <c r="J332" s="69"/>
      <c r="K332" s="69"/>
      <c r="L332" s="242"/>
      <c r="M332" s="69"/>
      <c r="N332" s="69"/>
      <c r="O332" s="69"/>
      <c r="P332" s="69"/>
      <c r="AB332" s="5"/>
      <c r="AC332" s="68"/>
      <c r="AD332" s="123"/>
    </row>
    <row r="333" spans="1:30">
      <c r="A333" s="68"/>
      <c r="C333" s="455">
        <f>MAX($C$292:C332)+1</f>
        <v>18</v>
      </c>
      <c r="D333" s="103" t="s">
        <v>165</v>
      </c>
      <c r="E333" s="568"/>
      <c r="F333" s="244">
        <f>Aannames!E210</f>
        <v>45000</v>
      </c>
      <c r="G333" s="235" t="s">
        <v>137</v>
      </c>
      <c r="H333" s="69"/>
      <c r="I333" s="69"/>
      <c r="J333" s="69"/>
      <c r="K333" s="69"/>
      <c r="L333" s="235"/>
      <c r="M333" s="69"/>
      <c r="N333" s="69"/>
      <c r="O333" s="69"/>
      <c r="P333" s="69"/>
      <c r="AB333" s="5"/>
      <c r="AC333" s="68"/>
      <c r="AD333" s="123"/>
    </row>
    <row r="334" spans="1:30">
      <c r="A334" s="68"/>
      <c r="C334" s="3"/>
      <c r="D334" s="103"/>
      <c r="E334" s="568"/>
      <c r="F334" s="69"/>
      <c r="G334" s="235"/>
      <c r="H334" s="69"/>
      <c r="I334" s="69"/>
      <c r="J334" s="69"/>
      <c r="K334" s="69"/>
      <c r="L334" s="235"/>
      <c r="M334" s="69"/>
      <c r="N334" s="69"/>
      <c r="O334" s="69"/>
      <c r="P334" s="69"/>
      <c r="AB334" s="5"/>
      <c r="AC334" s="68"/>
      <c r="AD334" s="123"/>
    </row>
    <row r="335" spans="1:30">
      <c r="A335" s="68"/>
      <c r="C335" s="3">
        <f>MAX($C$292:C334)+1</f>
        <v>19</v>
      </c>
      <c r="D335" s="103" t="s">
        <v>168</v>
      </c>
      <c r="E335" s="568"/>
      <c r="F335" s="69"/>
      <c r="G335" s="235"/>
      <c r="H335" s="69"/>
      <c r="I335" s="69"/>
      <c r="J335" s="69"/>
      <c r="K335" s="69"/>
      <c r="L335" s="235"/>
      <c r="M335" s="69"/>
      <c r="N335" s="69"/>
      <c r="O335" s="69"/>
      <c r="P335" s="69"/>
      <c r="AB335" s="5"/>
      <c r="AC335" s="68"/>
      <c r="AD335" s="123"/>
    </row>
    <row r="336" spans="1:30" ht="15">
      <c r="A336" s="68"/>
      <c r="D336" s="126" t="s">
        <v>166</v>
      </c>
      <c r="F336" s="245"/>
      <c r="G336" s="69"/>
      <c r="H336" s="69"/>
      <c r="I336" s="69"/>
      <c r="J336" s="69"/>
      <c r="K336" s="69"/>
      <c r="L336" s="69"/>
      <c r="M336" s="69"/>
      <c r="N336" s="69"/>
      <c r="O336" s="69"/>
      <c r="P336" s="69"/>
      <c r="Q336" s="1"/>
      <c r="AB336" s="5"/>
      <c r="AC336" s="68"/>
      <c r="AD336" s="123"/>
    </row>
    <row r="337" spans="1:30" ht="15">
      <c r="A337" s="68"/>
      <c r="D337" s="5" t="str">
        <f>Aannames!C214</f>
        <v>825 x 16 -14 crossply</v>
      </c>
      <c r="F337" s="952">
        <f>Aannames!F214</f>
        <v>2755</v>
      </c>
      <c r="G337" s="69" t="s">
        <v>136</v>
      </c>
      <c r="H337" s="69"/>
      <c r="I337" s="951">
        <f>F337/$F$333</f>
        <v>6.122222222222222E-2</v>
      </c>
      <c r="J337" s="69" t="str">
        <f>Aannames!I214</f>
        <v>per band per kilometer</v>
      </c>
      <c r="L337" s="69"/>
      <c r="M337" s="69"/>
      <c r="N337" s="69"/>
      <c r="O337" s="69"/>
      <c r="P337" s="69"/>
      <c r="Q337" s="1"/>
      <c r="AB337" s="5"/>
      <c r="AC337" s="68"/>
      <c r="AD337" s="123"/>
    </row>
    <row r="338" spans="1:30" ht="15">
      <c r="A338" s="68"/>
      <c r="D338" s="5" t="s">
        <v>151</v>
      </c>
      <c r="F338" s="952">
        <f>Aannames!F215</f>
        <v>3450</v>
      </c>
      <c r="G338" s="69" t="s">
        <v>136</v>
      </c>
      <c r="H338" s="69"/>
      <c r="I338" s="951">
        <f>F338/$F$333</f>
        <v>7.6666666666666661E-2</v>
      </c>
      <c r="J338" s="69" t="str">
        <f>Aannames!I215</f>
        <v>per band per kilometer</v>
      </c>
      <c r="L338" s="69"/>
      <c r="M338" s="69"/>
      <c r="N338" s="69"/>
      <c r="O338" s="69"/>
      <c r="P338" s="69"/>
      <c r="Q338" s="1"/>
      <c r="AB338" s="5"/>
      <c r="AC338" s="68"/>
      <c r="AD338" s="123"/>
    </row>
    <row r="339" spans="1:30" ht="15">
      <c r="A339" s="68"/>
      <c r="D339" s="5" t="s">
        <v>152</v>
      </c>
      <c r="F339" s="952">
        <f>Aannames!F216</f>
        <v>4030</v>
      </c>
      <c r="G339" s="69" t="s">
        <v>136</v>
      </c>
      <c r="H339" s="69"/>
      <c r="I339" s="951">
        <f>F339/$F$333</f>
        <v>8.9555555555555555E-2</v>
      </c>
      <c r="J339" s="69" t="str">
        <f>Aannames!I216</f>
        <v>per band per kilometer</v>
      </c>
      <c r="L339" s="69"/>
      <c r="M339" s="69"/>
      <c r="N339" s="69"/>
      <c r="O339" s="69"/>
      <c r="P339" s="69"/>
      <c r="Q339" s="1"/>
      <c r="AB339" s="5"/>
      <c r="AC339" s="68"/>
      <c r="AD339" s="123"/>
    </row>
    <row r="340" spans="1:30" ht="15">
      <c r="A340" s="68"/>
      <c r="D340" s="5" t="s">
        <v>153</v>
      </c>
      <c r="F340" s="952">
        <f>Aannames!F217</f>
        <v>4280</v>
      </c>
      <c r="G340" s="69" t="s">
        <v>136</v>
      </c>
      <c r="H340" s="69"/>
      <c r="I340" s="951">
        <f>F340/$F$333</f>
        <v>9.5111111111111105E-2</v>
      </c>
      <c r="J340" s="69" t="str">
        <f>Aannames!I217</f>
        <v>per band per kilometer</v>
      </c>
      <c r="L340" s="69"/>
      <c r="M340" s="69"/>
      <c r="N340" s="69"/>
      <c r="O340" s="69"/>
      <c r="P340" s="69"/>
      <c r="Q340" s="1"/>
      <c r="AB340" s="5"/>
      <c r="AC340" s="68"/>
      <c r="AD340" s="123"/>
    </row>
    <row r="341" spans="1:30" ht="15">
      <c r="A341" s="68"/>
      <c r="D341" s="5" t="s">
        <v>154</v>
      </c>
      <c r="F341" s="952">
        <f>Aannames!F218</f>
        <v>4100</v>
      </c>
      <c r="G341" s="69" t="s">
        <v>136</v>
      </c>
      <c r="H341" s="69"/>
      <c r="I341" s="951">
        <f>F341/$F$333</f>
        <v>9.1111111111111115E-2</v>
      </c>
      <c r="J341" s="69" t="str">
        <f>Aannames!I218</f>
        <v>per band per kilometer</v>
      </c>
      <c r="L341" s="69"/>
      <c r="M341" s="69"/>
      <c r="N341" s="69"/>
      <c r="O341" s="187"/>
      <c r="P341" s="187"/>
      <c r="Q341" s="1"/>
      <c r="AB341" s="5"/>
      <c r="AC341" s="68"/>
      <c r="AD341" s="123"/>
    </row>
    <row r="342" spans="1:30" ht="15">
      <c r="F342" s="231"/>
      <c r="G342" s="69"/>
      <c r="H342" s="69"/>
      <c r="I342" s="69"/>
      <c r="J342" s="69"/>
      <c r="K342" s="69"/>
      <c r="L342" s="69"/>
      <c r="M342" s="69"/>
      <c r="N342" s="69"/>
      <c r="O342" s="187"/>
      <c r="P342" s="187"/>
      <c r="Q342"/>
    </row>
    <row r="343" spans="1:30">
      <c r="A343" s="68"/>
      <c r="AB343" s="5"/>
      <c r="AC343" s="68"/>
      <c r="AD343" s="123"/>
    </row>
    <row r="344" spans="1:30"/>
    <row r="345" spans="1:30"/>
    <row r="346" spans="1:30"/>
    <row r="347" spans="1:30"/>
    <row r="348" spans="1:30"/>
    <row r="349" spans="1:30"/>
    <row r="350" spans="1:30"/>
    <row r="351" spans="1:30"/>
    <row r="352" spans="1:30"/>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sheetData>
  <sheetProtection algorithmName="SHA-512" hashValue="n9OA6AAZM5rmr28yf5BAD8kIazC3fpMpeLkm0hBIKMr2qiJASdGMfYjcTwkXHUsgVtWlBRfYMiclj9AVDOFevg==" saltValue="BRxNORcGZSKD6ILFRp3Vcg==" spinCount="100000" sheet="1" objects="1" sort="0" autoFilter="0" pivotTables="0"/>
  <mergeCells count="29">
    <mergeCell ref="Q5:Q6"/>
    <mergeCell ref="R5:R6"/>
    <mergeCell ref="S5:S6"/>
    <mergeCell ref="O5:O6"/>
    <mergeCell ref="C5:C6"/>
    <mergeCell ref="F5:F6"/>
    <mergeCell ref="E4:E6"/>
    <mergeCell ref="F4:K4"/>
    <mergeCell ref="N5:N6"/>
    <mergeCell ref="M5:M6"/>
    <mergeCell ref="L5:L6"/>
    <mergeCell ref="D5:D6"/>
    <mergeCell ref="P5:P6"/>
    <mergeCell ref="AB5:AB6"/>
    <mergeCell ref="AC5:AC6"/>
    <mergeCell ref="AD5:AD6"/>
    <mergeCell ref="W4:Z4"/>
    <mergeCell ref="C4:D4"/>
    <mergeCell ref="L4:O4"/>
    <mergeCell ref="P4:S4"/>
    <mergeCell ref="T4:U5"/>
    <mergeCell ref="Y5:Y6"/>
    <mergeCell ref="Z5:Z6"/>
    <mergeCell ref="W5:W6"/>
    <mergeCell ref="X5:X6"/>
    <mergeCell ref="K5:K6"/>
    <mergeCell ref="H5:H6"/>
    <mergeCell ref="G5:G6"/>
    <mergeCell ref="I5:J6"/>
  </mergeCells>
  <pageMargins left="0.51181102362204722" right="0.31496062992125984" top="0.39370078740157483" bottom="0.51181102362204722" header="0.31496062992125984" footer="0.31496062992125984"/>
  <pageSetup paperSize="9" scale="80" fitToWidth="0" fitToHeight="0" orientation="landscape" r:id="rId1"/>
  <rowBreaks count="8" manualBreakCount="8">
    <brk id="44" min="1" max="20" man="1"/>
    <brk id="86" min="1" max="20" man="1"/>
    <brk id="170" min="1" max="20" man="1"/>
    <brk id="203" min="1" max="20" man="1"/>
    <brk id="235" min="1" max="20" man="1"/>
    <brk id="257" min="1" max="20" man="1"/>
    <brk id="287" min="1" max="20" man="1"/>
    <brk id="322" min="1" max="20"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BQ137"/>
  <sheetViews>
    <sheetView showGridLines="0" zoomScale="80" zoomScaleNormal="80" zoomScaleSheetLayoutView="85" workbookViewId="0">
      <selection activeCell="J21" sqref="J21"/>
    </sheetView>
  </sheetViews>
  <sheetFormatPr defaultRowHeight="12.75"/>
  <cols>
    <col min="1" max="2" width="2.5546875" style="356" customWidth="1"/>
    <col min="3" max="3" width="25" style="344" bestFit="1" customWidth="1"/>
    <col min="4" max="4" width="8.21875" style="356" customWidth="1"/>
    <col min="5" max="5" width="5.6640625" style="356" customWidth="1"/>
    <col min="6" max="6" width="6" style="356" customWidth="1"/>
    <col min="7" max="7" width="6.5546875" style="356" customWidth="1"/>
    <col min="8" max="8" width="5.33203125" style="356" customWidth="1"/>
    <col min="9" max="9" width="7.6640625" style="356" customWidth="1"/>
    <col min="10" max="10" width="27.33203125" style="344" customWidth="1"/>
    <col min="11" max="11" width="6.21875" style="356" customWidth="1"/>
    <col min="12" max="12" width="7" style="356" customWidth="1"/>
    <col min="13" max="13" width="8" style="356" customWidth="1"/>
    <col min="14" max="14" width="7.109375" style="356" hidden="1" customWidth="1"/>
    <col min="15" max="15" width="8.21875" style="356" customWidth="1"/>
    <col min="16" max="16" width="6.21875" style="356" customWidth="1"/>
    <col min="17" max="17" width="7.44140625" style="356" customWidth="1"/>
    <col min="18" max="18" width="8.109375" style="356" customWidth="1"/>
    <col min="19" max="19" width="7.44140625" style="374" customWidth="1"/>
    <col min="20" max="20" width="6.21875" style="356" customWidth="1"/>
    <col min="21" max="21" width="6.5546875" style="356" customWidth="1"/>
    <col min="22" max="22" width="8.21875" style="374" customWidth="1"/>
    <col min="23" max="23" width="1.21875" style="356" customWidth="1"/>
    <col min="24" max="24" width="8.6640625" style="356" customWidth="1"/>
    <col min="25" max="25" width="7" style="356" customWidth="1"/>
    <col min="26" max="26" width="8.21875" style="356" customWidth="1"/>
    <col min="27" max="27" width="8.6640625" style="356" hidden="1" customWidth="1"/>
    <col min="28" max="28" width="8.109375" style="356" hidden="1" customWidth="1"/>
    <col min="29" max="29" width="8.6640625" style="356" customWidth="1"/>
    <col min="30" max="31" width="8.44140625" style="356" customWidth="1"/>
    <col min="32" max="32" width="7.5546875" style="357" customWidth="1"/>
    <col min="33" max="33" width="8" style="356" customWidth="1"/>
    <col min="34" max="34" width="8.77734375" style="356" customWidth="1"/>
    <col min="35" max="35" width="1.21875" style="356" customWidth="1"/>
    <col min="36" max="36" width="8.88671875" style="356" customWidth="1"/>
    <col min="37" max="37" width="1.21875" style="356" customWidth="1"/>
    <col min="38" max="38" width="9.109375" style="356" customWidth="1"/>
    <col min="39" max="39" width="8.88671875" style="356" customWidth="1"/>
    <col min="40" max="43" width="8.88671875" style="356" bestFit="1" customWidth="1"/>
    <col min="44" max="44" width="8.88671875" style="358" bestFit="1" customWidth="1"/>
    <col min="45" max="45" width="9.44140625" style="356" bestFit="1" customWidth="1"/>
    <col min="46" max="46" width="9.33203125" style="356" bestFit="1" customWidth="1"/>
    <col min="47" max="47" width="9.6640625" style="356" bestFit="1" customWidth="1"/>
    <col min="48" max="48" width="1.21875" style="356" customWidth="1"/>
    <col min="49" max="49" width="8.88671875" style="356"/>
    <col min="50" max="50" width="8.5546875" style="356" customWidth="1"/>
    <col min="51" max="51" width="8.33203125" style="356" bestFit="1" customWidth="1"/>
    <col min="52" max="53" width="8.88671875" style="356"/>
    <col min="54" max="54" width="8.44140625" style="356" bestFit="1" customWidth="1"/>
    <col min="55" max="55" width="8.21875" style="358" customWidth="1"/>
    <col min="56" max="56" width="8.88671875" style="356"/>
    <col min="57" max="57" width="9.44140625" style="356" bestFit="1" customWidth="1"/>
    <col min="58" max="58" width="8" style="356" customWidth="1"/>
    <col min="59" max="59" width="8.33203125" style="356" customWidth="1"/>
    <col min="60" max="60" width="1.21875" style="356" customWidth="1"/>
    <col min="61" max="65" width="8.88671875" style="356"/>
    <col min="66" max="66" width="8.88671875" style="358"/>
    <col min="67" max="67" width="9.44140625" style="356" bestFit="1" customWidth="1"/>
    <col min="68" max="68" width="8.88671875" style="356"/>
    <col min="69" max="69" width="8.21875" style="356" customWidth="1"/>
    <col min="70" max="16384" width="8.88671875" style="356"/>
  </cols>
  <sheetData>
    <row r="1" spans="2:69" s="343" customFormat="1">
      <c r="J1" s="344"/>
      <c r="S1" s="349"/>
      <c r="V1" s="349"/>
      <c r="AF1" s="345"/>
      <c r="AR1" s="346"/>
      <c r="BC1" s="346"/>
      <c r="BN1" s="346"/>
    </row>
    <row r="2" spans="2:69" s="343" customFormat="1" ht="25.5">
      <c r="B2" s="347" t="s">
        <v>887</v>
      </c>
      <c r="C2" s="348"/>
      <c r="J2" s="344"/>
      <c r="S2" s="349"/>
      <c r="V2" s="349"/>
      <c r="AF2" s="345"/>
      <c r="AR2" s="346"/>
      <c r="BC2" s="346"/>
      <c r="BN2" s="346"/>
    </row>
    <row r="3" spans="2:69" s="343" customFormat="1">
      <c r="B3" s="349" t="s">
        <v>188</v>
      </c>
      <c r="J3" s="344"/>
      <c r="Q3" s="926" t="s">
        <v>1295</v>
      </c>
      <c r="R3" s="927"/>
      <c r="S3" s="928"/>
      <c r="T3" s="927"/>
      <c r="U3" s="927"/>
      <c r="V3" s="929"/>
      <c r="AF3" s="345"/>
      <c r="AR3" s="346"/>
      <c r="BC3" s="346"/>
      <c r="BN3" s="346"/>
    </row>
    <row r="4" spans="2:69" s="343" customFormat="1">
      <c r="B4" s="349"/>
      <c r="J4" s="344"/>
      <c r="K4" s="349" t="s">
        <v>228</v>
      </c>
      <c r="Q4" s="930" t="s">
        <v>1293</v>
      </c>
      <c r="R4" s="931"/>
      <c r="S4" s="932"/>
      <c r="T4" s="931"/>
      <c r="U4" s="931"/>
      <c r="V4" s="933"/>
      <c r="AF4" s="345"/>
      <c r="AR4" s="346"/>
      <c r="BC4" s="346"/>
      <c r="BN4" s="346"/>
    </row>
    <row r="5" spans="2:69" s="343" customFormat="1">
      <c r="B5" s="349"/>
      <c r="C5" s="343" t="s">
        <v>968</v>
      </c>
      <c r="E5" s="759">
        <f>G5</f>
        <v>12.3</v>
      </c>
      <c r="F5" s="350" t="s">
        <v>57</v>
      </c>
      <c r="G5" s="351">
        <f>Diesel.Handel</f>
        <v>12.3</v>
      </c>
      <c r="H5" s="344" t="s">
        <v>174</v>
      </c>
      <c r="J5" s="344"/>
      <c r="K5" s="349" t="s">
        <v>124</v>
      </c>
      <c r="M5" s="343">
        <f>kWperPK</f>
        <v>0.74569987158227002</v>
      </c>
      <c r="N5" s="343" t="s">
        <v>44</v>
      </c>
      <c r="O5" s="343" t="s">
        <v>125</v>
      </c>
      <c r="Q5" s="930" t="s">
        <v>1290</v>
      </c>
      <c r="R5" s="931"/>
      <c r="S5" s="932"/>
      <c r="T5" s="931"/>
      <c r="U5" s="931"/>
      <c r="V5" s="933"/>
      <c r="AF5" s="345"/>
      <c r="AR5" s="346"/>
      <c r="BC5" s="346"/>
      <c r="BN5" s="346"/>
    </row>
    <row r="6" spans="2:69" s="343" customFormat="1">
      <c r="B6" s="349"/>
      <c r="C6" s="343" t="s">
        <v>967</v>
      </c>
      <c r="E6" s="759">
        <v>0</v>
      </c>
      <c r="F6" s="350" t="s">
        <v>57</v>
      </c>
      <c r="G6" s="351">
        <f>Diesel.Korting.Sent/100*0.8</f>
        <v>2.3199999999999998</v>
      </c>
      <c r="H6" s="344" t="s">
        <v>174</v>
      </c>
      <c r="J6" s="344"/>
      <c r="K6" s="349" t="s">
        <v>126</v>
      </c>
      <c r="M6" s="343">
        <f>MeterPerVoet</f>
        <v>0.30480000000000002</v>
      </c>
      <c r="N6" s="343" t="s">
        <v>27</v>
      </c>
      <c r="O6" s="343" t="s">
        <v>127</v>
      </c>
      <c r="Q6" s="930" t="s">
        <v>1291</v>
      </c>
      <c r="R6" s="931"/>
      <c r="S6" s="932"/>
      <c r="T6" s="931"/>
      <c r="U6" s="931"/>
      <c r="V6" s="933"/>
      <c r="AF6" s="345"/>
      <c r="AR6" s="346"/>
      <c r="BC6" s="346"/>
      <c r="BN6" s="346"/>
    </row>
    <row r="7" spans="2:69" s="343" customFormat="1">
      <c r="C7" s="343" t="s">
        <v>966</v>
      </c>
      <c r="D7" s="344"/>
      <c r="E7" s="759">
        <f>G7</f>
        <v>12.3</v>
      </c>
      <c r="F7" s="350" t="s">
        <v>57</v>
      </c>
      <c r="G7" s="351">
        <f>Diesel.Gebruik</f>
        <v>12.3</v>
      </c>
      <c r="H7" s="344" t="s">
        <v>174</v>
      </c>
      <c r="J7" s="344"/>
      <c r="K7" s="349" t="s">
        <v>187</v>
      </c>
      <c r="M7" s="344"/>
      <c r="N7" s="344"/>
      <c r="Q7" s="930" t="s">
        <v>1292</v>
      </c>
      <c r="R7" s="931"/>
      <c r="S7" s="932"/>
      <c r="T7" s="931"/>
      <c r="U7" s="931"/>
      <c r="V7" s="933"/>
      <c r="W7" s="344"/>
      <c r="X7" s="344"/>
      <c r="Y7" s="344"/>
      <c r="Z7" s="344"/>
      <c r="AA7" s="344"/>
      <c r="AC7" s="344"/>
      <c r="AE7" s="344"/>
      <c r="AF7" s="352"/>
      <c r="AG7" s="344"/>
      <c r="AH7" s="344"/>
      <c r="AI7" s="344"/>
      <c r="AK7" s="344"/>
      <c r="AR7" s="346"/>
      <c r="BC7" s="346"/>
      <c r="BN7" s="346"/>
    </row>
    <row r="8" spans="2:69" s="343" customFormat="1">
      <c r="C8" s="343" t="s">
        <v>80</v>
      </c>
      <c r="D8" s="344"/>
      <c r="E8" s="760">
        <f>G8</f>
        <v>10.5</v>
      </c>
      <c r="F8" s="343" t="s">
        <v>179</v>
      </c>
      <c r="G8" s="353">
        <f>Aannames!$F$56</f>
        <v>10.5</v>
      </c>
      <c r="H8" s="344" t="s">
        <v>175</v>
      </c>
      <c r="J8" s="344"/>
      <c r="K8" s="761">
        <v>243</v>
      </c>
      <c r="L8" s="343" t="s">
        <v>176</v>
      </c>
      <c r="M8" s="355">
        <f>K8*kWperPK</f>
        <v>181.20506879449161</v>
      </c>
      <c r="N8" s="343" t="s">
        <v>178</v>
      </c>
      <c r="Q8" s="934" t="s">
        <v>1294</v>
      </c>
      <c r="R8" s="935"/>
      <c r="S8" s="936"/>
      <c r="T8" s="935"/>
      <c r="U8" s="937"/>
      <c r="V8" s="938"/>
      <c r="W8" s="344"/>
      <c r="X8" s="344"/>
      <c r="Y8" s="344"/>
      <c r="Z8" s="344"/>
      <c r="AA8" s="344"/>
      <c r="AB8" s="344"/>
      <c r="AC8" s="344"/>
      <c r="AD8" s="344"/>
      <c r="AE8" s="344"/>
      <c r="AF8" s="352"/>
      <c r="AG8" s="344"/>
      <c r="AH8" s="344"/>
      <c r="AI8" s="344"/>
      <c r="AK8" s="344"/>
      <c r="AR8" s="346"/>
      <c r="BC8" s="346"/>
      <c r="BN8" s="346"/>
    </row>
    <row r="9" spans="2:69" s="343" customFormat="1">
      <c r="C9" s="343" t="s">
        <v>225</v>
      </c>
      <c r="D9" s="344"/>
      <c r="E9" s="760">
        <v>100</v>
      </c>
      <c r="F9" s="343" t="s">
        <v>179</v>
      </c>
      <c r="G9" s="354" t="s">
        <v>226</v>
      </c>
      <c r="H9" s="354"/>
      <c r="I9" s="344"/>
      <c r="J9" s="344"/>
      <c r="K9" s="761">
        <v>30</v>
      </c>
      <c r="L9" s="343" t="s">
        <v>177</v>
      </c>
      <c r="M9" s="878">
        <f>K9*MeterPerVoet</f>
        <v>9.1440000000000001</v>
      </c>
      <c r="N9" s="343" t="s">
        <v>27</v>
      </c>
      <c r="P9" s="344"/>
      <c r="R9" s="344"/>
      <c r="S9" s="758"/>
      <c r="T9" s="344"/>
      <c r="U9" s="344"/>
      <c r="V9" s="364"/>
      <c r="W9" s="344"/>
      <c r="X9" s="344"/>
      <c r="Y9" s="344"/>
      <c r="Z9" s="344"/>
      <c r="AA9" s="344"/>
      <c r="AB9" s="344"/>
      <c r="AC9" s="344"/>
      <c r="AD9" s="344"/>
      <c r="AE9" s="344"/>
      <c r="AF9" s="352"/>
      <c r="AG9" s="344"/>
      <c r="AH9" s="344"/>
      <c r="AI9" s="344"/>
      <c r="AK9" s="344"/>
      <c r="AR9" s="346"/>
      <c r="BC9" s="346"/>
      <c r="BN9" s="346"/>
    </row>
    <row r="10" spans="2:69" s="343" customFormat="1">
      <c r="J10" s="344"/>
      <c r="Q10" s="343" t="s">
        <v>1288</v>
      </c>
      <c r="S10" s="349"/>
      <c r="V10" s="349"/>
      <c r="AF10" s="345"/>
      <c r="AR10" s="346"/>
      <c r="BC10" s="346"/>
      <c r="BN10" s="346"/>
    </row>
    <row r="11" spans="2:69" ht="64.5" hidden="1" thickBot="1">
      <c r="B11" s="359" t="s">
        <v>581</v>
      </c>
      <c r="C11" s="360"/>
      <c r="D11" s="360"/>
      <c r="E11" s="360"/>
      <c r="F11" s="360"/>
      <c r="G11" s="360"/>
      <c r="H11" s="360"/>
      <c r="I11" s="360"/>
      <c r="J11" s="360"/>
      <c r="O11" s="920"/>
      <c r="P11" s="914" t="s">
        <v>1279</v>
      </c>
      <c r="Q11" s="914" t="s">
        <v>1282</v>
      </c>
      <c r="R11" s="914" t="s">
        <v>1280</v>
      </c>
      <c r="S11" s="921" t="s">
        <v>1281</v>
      </c>
      <c r="V11" s="349"/>
      <c r="X11" s="358"/>
      <c r="Y11" s="358"/>
      <c r="Z11" s="358"/>
      <c r="AA11" s="358"/>
      <c r="AB11" s="361"/>
      <c r="AC11" s="361"/>
      <c r="AD11" s="361"/>
      <c r="AE11" s="361"/>
      <c r="AF11" s="362"/>
      <c r="AL11" s="363" t="str">
        <f>B11</f>
        <v>TREKKER MET IMPLEMENT : VELDAKSIE</v>
      </c>
      <c r="AW11" s="365" t="s">
        <v>81</v>
      </c>
      <c r="AX11" s="366"/>
      <c r="AY11" s="366"/>
      <c r="BI11" s="365" t="s">
        <v>431</v>
      </c>
      <c r="BJ11" s="366"/>
      <c r="BK11" s="366"/>
    </row>
    <row r="12" spans="2:69" ht="13.5" thickBot="1">
      <c r="B12" s="367"/>
      <c r="C12" s="368"/>
      <c r="D12" s="369"/>
      <c r="E12" s="369"/>
      <c r="F12" s="369"/>
      <c r="G12" s="369"/>
      <c r="H12" s="369"/>
      <c r="I12" s="369"/>
      <c r="J12" s="368"/>
      <c r="K12" s="369"/>
      <c r="L12" s="369"/>
      <c r="M12" s="369"/>
      <c r="N12" s="369"/>
      <c r="O12" s="369"/>
      <c r="P12" s="369"/>
      <c r="Q12" s="369"/>
      <c r="R12" s="369"/>
      <c r="S12" s="922"/>
      <c r="T12" s="369"/>
      <c r="U12" s="369"/>
      <c r="V12" s="922"/>
      <c r="X12" s="369"/>
      <c r="Y12" s="369"/>
      <c r="Z12" s="369"/>
      <c r="AA12" s="369"/>
      <c r="AB12" s="369"/>
      <c r="AC12" s="369"/>
      <c r="AD12" s="369"/>
      <c r="AE12" s="369"/>
      <c r="AF12" s="370"/>
      <c r="AG12" s="369"/>
      <c r="AH12" s="369"/>
      <c r="AL12" s="364" t="s">
        <v>586</v>
      </c>
      <c r="AW12" s="364" t="s">
        <v>943</v>
      </c>
      <c r="BI12" s="364" t="s">
        <v>943</v>
      </c>
    </row>
    <row r="13" spans="2:69" s="374" customFormat="1" ht="12.75" customHeight="1">
      <c r="B13" s="371"/>
      <c r="C13" s="372"/>
      <c r="D13" s="1040" t="s">
        <v>29</v>
      </c>
      <c r="E13" s="1041"/>
      <c r="F13" s="1041"/>
      <c r="G13" s="1041"/>
      <c r="H13" s="1041"/>
      <c r="I13" s="1041" t="s">
        <v>38</v>
      </c>
      <c r="J13" s="1043"/>
      <c r="K13" s="1041" t="s">
        <v>186</v>
      </c>
      <c r="L13" s="1041"/>
      <c r="M13" s="1041"/>
      <c r="N13" s="1041"/>
      <c r="O13" s="1044"/>
      <c r="P13" s="1040" t="s">
        <v>1289</v>
      </c>
      <c r="Q13" s="1041"/>
      <c r="R13" s="1041"/>
      <c r="S13" s="1041"/>
      <c r="T13" s="1041"/>
      <c r="U13" s="1041"/>
      <c r="V13" s="1044"/>
      <c r="W13" s="356"/>
      <c r="X13" s="1041" t="s">
        <v>29</v>
      </c>
      <c r="Y13" s="1041"/>
      <c r="Z13" s="1043"/>
      <c r="AA13" s="1045" t="s">
        <v>38</v>
      </c>
      <c r="AB13" s="1041"/>
      <c r="AC13" s="1044"/>
      <c r="AD13" s="1040" t="s">
        <v>25</v>
      </c>
      <c r="AE13" s="1041"/>
      <c r="AF13" s="373"/>
      <c r="AG13" s="1040" t="s">
        <v>35</v>
      </c>
      <c r="AH13" s="1043"/>
      <c r="AI13" s="356"/>
      <c r="AJ13" s="356"/>
      <c r="AK13" s="356"/>
      <c r="AL13" s="1042" t="str">
        <f>AX13</f>
        <v>VERANDERLIKE KOSTE</v>
      </c>
      <c r="AM13" s="1042"/>
      <c r="AN13" s="1042"/>
      <c r="AO13" s="1042"/>
      <c r="AP13" s="1042"/>
      <c r="AQ13" s="1042" t="str">
        <f>BC13</f>
        <v>VASTE KOSTE</v>
      </c>
      <c r="AR13" s="1042"/>
      <c r="AS13" s="1042"/>
      <c r="AT13" s="1042"/>
      <c r="AU13" s="912" t="str">
        <f>BG13</f>
        <v>TOTAAL</v>
      </c>
      <c r="AW13" s="912"/>
      <c r="AX13" s="1042" t="s">
        <v>32</v>
      </c>
      <c r="AY13" s="1042"/>
      <c r="AZ13" s="1042"/>
      <c r="BA13" s="1042"/>
      <c r="BB13" s="1042"/>
      <c r="BC13" s="1042" t="s">
        <v>31</v>
      </c>
      <c r="BD13" s="1042"/>
      <c r="BE13" s="1042"/>
      <c r="BF13" s="1042"/>
      <c r="BG13" s="912" t="s">
        <v>30</v>
      </c>
      <c r="BI13" s="912"/>
      <c r="BJ13" s="1042" t="str">
        <f>$AX$13</f>
        <v>VERANDERLIKE KOSTE</v>
      </c>
      <c r="BK13" s="1042"/>
      <c r="BL13" s="1042"/>
      <c r="BM13" s="1042" t="str">
        <f>BC13</f>
        <v>VASTE KOSTE</v>
      </c>
      <c r="BN13" s="1042"/>
      <c r="BO13" s="1042"/>
      <c r="BP13" s="1042"/>
      <c r="BQ13" s="912" t="str">
        <f>BG13</f>
        <v>TOTAAL</v>
      </c>
    </row>
    <row r="14" spans="2:69" s="395" customFormat="1" ht="45" customHeight="1" thickBot="1">
      <c r="B14" s="375" t="s">
        <v>83</v>
      </c>
      <c r="C14" s="376" t="s">
        <v>34</v>
      </c>
      <c r="D14" s="377" t="s">
        <v>128</v>
      </c>
      <c r="E14" s="378" t="s">
        <v>180</v>
      </c>
      <c r="F14" s="378" t="s">
        <v>195</v>
      </c>
      <c r="G14" s="379" t="s">
        <v>148</v>
      </c>
      <c r="H14" s="380" t="s">
        <v>129</v>
      </c>
      <c r="I14" s="424" t="s">
        <v>580</v>
      </c>
      <c r="J14" s="381" t="s">
        <v>579</v>
      </c>
      <c r="K14" s="382" t="s">
        <v>85</v>
      </c>
      <c r="L14" s="375" t="s">
        <v>548</v>
      </c>
      <c r="M14" s="375" t="s">
        <v>996</v>
      </c>
      <c r="N14" s="383" t="s">
        <v>86</v>
      </c>
      <c r="O14" s="384" t="s">
        <v>549</v>
      </c>
      <c r="P14" s="913" t="s">
        <v>1286</v>
      </c>
      <c r="Q14" s="914" t="s">
        <v>1283</v>
      </c>
      <c r="R14" s="914" t="s">
        <v>1284</v>
      </c>
      <c r="S14" s="921" t="s">
        <v>1285</v>
      </c>
      <c r="T14" s="916" t="s">
        <v>87</v>
      </c>
      <c r="U14" s="918" t="s">
        <v>181</v>
      </c>
      <c r="V14" s="921" t="s">
        <v>1287</v>
      </c>
      <c r="W14" s="356"/>
      <c r="X14" s="385" t="s">
        <v>530</v>
      </c>
      <c r="Y14" s="386" t="s">
        <v>531</v>
      </c>
      <c r="Z14" s="378" t="s">
        <v>532</v>
      </c>
      <c r="AA14" s="385" t="s">
        <v>530</v>
      </c>
      <c r="AB14" s="386" t="s">
        <v>531</v>
      </c>
      <c r="AC14" s="387" t="s">
        <v>621</v>
      </c>
      <c r="AD14" s="388" t="s">
        <v>533</v>
      </c>
      <c r="AE14" s="385" t="s">
        <v>534</v>
      </c>
      <c r="AF14" s="389" t="s">
        <v>86</v>
      </c>
      <c r="AG14" s="390" t="s">
        <v>488</v>
      </c>
      <c r="AH14" s="391" t="s">
        <v>489</v>
      </c>
      <c r="AI14" s="356"/>
      <c r="AJ14" s="375" t="s">
        <v>1104</v>
      </c>
      <c r="AK14" s="356"/>
      <c r="AL14" s="383" t="s">
        <v>87</v>
      </c>
      <c r="AM14" s="375" t="s">
        <v>181</v>
      </c>
      <c r="AN14" s="375" t="s">
        <v>182</v>
      </c>
      <c r="AO14" s="375" t="s">
        <v>88</v>
      </c>
      <c r="AP14" s="392" t="s">
        <v>183</v>
      </c>
      <c r="AQ14" s="375" t="s">
        <v>184</v>
      </c>
      <c r="AR14" s="375" t="s">
        <v>215</v>
      </c>
      <c r="AS14" s="393" t="s">
        <v>189</v>
      </c>
      <c r="AT14" s="392" t="s">
        <v>89</v>
      </c>
      <c r="AU14" s="394" t="s">
        <v>90</v>
      </c>
      <c r="AW14" s="396" t="s">
        <v>128</v>
      </c>
      <c r="AX14" s="383" t="s">
        <v>550</v>
      </c>
      <c r="AY14" s="375" t="s">
        <v>535</v>
      </c>
      <c r="AZ14" s="375" t="s">
        <v>536</v>
      </c>
      <c r="BA14" s="375" t="s">
        <v>537</v>
      </c>
      <c r="BB14" s="392" t="s">
        <v>538</v>
      </c>
      <c r="BC14" s="375" t="s">
        <v>539</v>
      </c>
      <c r="BD14" s="375" t="s">
        <v>540</v>
      </c>
      <c r="BE14" s="393" t="s">
        <v>541</v>
      </c>
      <c r="BF14" s="392" t="s">
        <v>542</v>
      </c>
      <c r="BG14" s="394" t="s">
        <v>543</v>
      </c>
      <c r="BI14" s="396" t="str">
        <f t="shared" ref="BI14:BI57" si="0">I14</f>
        <v>Implement kode</v>
      </c>
      <c r="BJ14" s="375" t="s">
        <v>536</v>
      </c>
      <c r="BK14" s="375" t="s">
        <v>537</v>
      </c>
      <c r="BL14" s="392" t="s">
        <v>538</v>
      </c>
      <c r="BM14" s="375" t="s">
        <v>539</v>
      </c>
      <c r="BN14" s="375" t="s">
        <v>540</v>
      </c>
      <c r="BO14" s="375" t="s">
        <v>541</v>
      </c>
      <c r="BP14" s="392" t="s">
        <v>542</v>
      </c>
      <c r="BQ14" s="394" t="s">
        <v>543</v>
      </c>
    </row>
    <row r="15" spans="2:69">
      <c r="B15" s="397"/>
      <c r="C15" s="731"/>
      <c r="D15" s="398"/>
      <c r="E15" s="399">
        <f>IF($D15="",0,VLOOKUP($D15,Trekkers!$A:$U,COLUMN(Trekkers!C$5),FALSE))</f>
        <v>0</v>
      </c>
      <c r="F15" s="399">
        <f>IF($D15="",0,VLOOKUP($D15,Trekkers!$A:$U,COLUMN(Trekkers!D$5),FALSE))</f>
        <v>0</v>
      </c>
      <c r="G15" s="399">
        <f>IF($D15="",0,VLOOKUP($D15,Trekkers!$A:$U,COLUMN(Trekkers!E$5),FALSE))</f>
        <v>0</v>
      </c>
      <c r="H15" s="732"/>
      <c r="I15" s="398"/>
      <c r="J15" s="400">
        <f>IF($I15=0,0,VLOOKUP($I15,'Implemente &amp; Waens'!$A:$Z,COLUMN('Implemente &amp; Waens'!C$5),FALSE))</f>
        <v>0</v>
      </c>
      <c r="K15" s="967"/>
      <c r="L15" s="729"/>
      <c r="M15" s="730"/>
      <c r="N15" s="402">
        <f t="shared" ref="N15:N56" si="1">IF(COUNT(K15:M15)=3,10000/((K15*(L15*1000))*M15),0)</f>
        <v>0</v>
      </c>
      <c r="O15" s="403">
        <f t="shared" ref="O15" si="2">K15*L15*M15/10</f>
        <v>0</v>
      </c>
      <c r="P15" s="915">
        <f>$AU15-$AM15-$AS15*100%-$AQ15*50%</f>
        <v>0</v>
      </c>
      <c r="Q15" s="915">
        <f>$AU15-$AM15-$AS15*100%-$AQ15*0%</f>
        <v>0</v>
      </c>
      <c r="R15" s="915">
        <f>$AU15-$AM15-$AS15*50%-$AQ15*0%</f>
        <v>0</v>
      </c>
      <c r="S15" s="923">
        <f>$AU15-$AM15-$AS15*0%-$AQ15*0%</f>
        <v>0</v>
      </c>
      <c r="T15" s="917">
        <f>AL15</f>
        <v>0</v>
      </c>
      <c r="U15" s="919">
        <f>AM15</f>
        <v>0</v>
      </c>
      <c r="V15" s="923">
        <f>S15+U15</f>
        <v>0</v>
      </c>
      <c r="X15" s="404">
        <f t="shared" ref="X15:X56" si="3">BB15</f>
        <v>0</v>
      </c>
      <c r="Y15" s="405">
        <f t="shared" ref="Y15:Z30" si="4">BF15</f>
        <v>0</v>
      </c>
      <c r="Z15" s="406">
        <f t="shared" si="4"/>
        <v>0</v>
      </c>
      <c r="AA15" s="404">
        <f t="shared" ref="AA15:AA56" si="5">BL15</f>
        <v>0</v>
      </c>
      <c r="AB15" s="405">
        <f t="shared" ref="AB15:AC30" si="6">BP15</f>
        <v>0</v>
      </c>
      <c r="AC15" s="407">
        <f t="shared" si="6"/>
        <v>0</v>
      </c>
      <c r="AD15" s="408">
        <f t="shared" ref="AD15" si="7">AE15-AY15</f>
        <v>0</v>
      </c>
      <c r="AE15" s="409">
        <f t="shared" ref="AE15:AE57" si="8">SUM(Z15,AC15)</f>
        <v>0</v>
      </c>
      <c r="AF15" s="410">
        <f t="shared" ref="AF15:AF57" si="9">N15</f>
        <v>0</v>
      </c>
      <c r="AG15" s="411">
        <f t="shared" ref="AG15" si="10">AH15-AM15</f>
        <v>0</v>
      </c>
      <c r="AH15" s="412">
        <f t="shared" ref="AH15:AH56" si="11">AU15</f>
        <v>0</v>
      </c>
      <c r="AJ15" s="730">
        <v>1</v>
      </c>
      <c r="AL15" s="413">
        <f t="shared" ref="AL15:AL57" si="12">AX15*$AF15</f>
        <v>0</v>
      </c>
      <c r="AM15" s="414">
        <f t="shared" ref="AM15:AM57" si="13">AL15*$E$7</f>
        <v>0</v>
      </c>
      <c r="AN15" s="414">
        <f t="shared" ref="AN15:AN57" si="14">SUM(AZ15,BJ15)*$AF15</f>
        <v>0</v>
      </c>
      <c r="AO15" s="414">
        <f t="shared" ref="AO15:AO57" si="15">SUM(BA15,BK15)*$AF15</f>
        <v>0</v>
      </c>
      <c r="AP15" s="415">
        <f t="shared" ref="AP15:AP56" si="16">SUM(AM15:AO15)</f>
        <v>0</v>
      </c>
      <c r="AQ15" s="414">
        <f t="shared" ref="AQ15:AQ57" si="17">SUM(BC15,BM15)*$AF15</f>
        <v>0</v>
      </c>
      <c r="AR15" s="414">
        <f t="shared" ref="AR15:AR57" si="18">SUM(BD15,BN15)*$AF15</f>
        <v>0</v>
      </c>
      <c r="AS15" s="414">
        <f t="shared" ref="AS15:AS57" si="19">SUM(BE15,BO15)*$AF15</f>
        <v>0</v>
      </c>
      <c r="AT15" s="415">
        <f t="shared" ref="AT15:AT56" si="20">SUM(AQ15:AS15)</f>
        <v>0</v>
      </c>
      <c r="AU15" s="416">
        <f t="shared" ref="AU15:AU56" si="21">AP15+AT15</f>
        <v>0</v>
      </c>
      <c r="AV15" s="417"/>
      <c r="AW15" s="418">
        <f t="shared" ref="AW15:AW57" si="22">D15</f>
        <v>0</v>
      </c>
      <c r="AX15" s="413">
        <f>IF(D15="",0,E15*VLOOKUP(H15,Trekkers!$E$141:$L$143,COLUMNS(Trekkers!$E$141:$L$141),FALSE)*AJ15)</f>
        <v>0</v>
      </c>
      <c r="AY15" s="414">
        <f t="shared" ref="AY15:AY56" si="23">AX15*$E$7</f>
        <v>0</v>
      </c>
      <c r="AZ15" s="414">
        <f>IF(D15="",0,VLOOKUP($D15,Trekkers!$A:$V,COLUMN(Trekkers!$K$5),FALSE))</f>
        <v>0</v>
      </c>
      <c r="BA15" s="414">
        <f>0</f>
        <v>0</v>
      </c>
      <c r="BB15" s="415">
        <f t="shared" ref="BB15:BB56" si="24">SUM(AY15:BA15)</f>
        <v>0</v>
      </c>
      <c r="BC15" s="414">
        <f>IF($D15="",0,VLOOKUP($D15,Trekkers!$A:$V,COLUMN(Trekkers!$G$5),FALSE)*$E$9/100)</f>
        <v>0</v>
      </c>
      <c r="BD15" s="414">
        <f>IF($D15="",0,VLOOKUP($D15,Trekkers!$A:$V,COLUMN(Trekkers!$H$5),FALSE))</f>
        <v>0</v>
      </c>
      <c r="BE15" s="414">
        <f>IF($D15="",0,VLOOKUP($D15,Trekkers!$A:$V,COLUMN(Trekkers!$I$5),FALSE)/$G$8*$E$8)</f>
        <v>0</v>
      </c>
      <c r="BF15" s="415">
        <f t="shared" ref="BF15:BF56" si="25">SUM(BC15:BE15)</f>
        <v>0</v>
      </c>
      <c r="BG15" s="416">
        <f t="shared" ref="BG15:BG56" si="26">BB15+BF15</f>
        <v>0</v>
      </c>
      <c r="BH15" s="417"/>
      <c r="BI15" s="418">
        <f t="shared" si="0"/>
        <v>0</v>
      </c>
      <c r="BJ15" s="414">
        <f>IF($I15=0,0,VLOOKUP($I15,'Implemente &amp; Waens'!$A:$Z,COLUMN('Implemente &amp; Waens'!M$5),FALSE))</f>
        <v>0</v>
      </c>
      <c r="BK15" s="414">
        <f>IF($I15=0,0,VLOOKUP($I15,'Implemente &amp; Waens'!$A:$Z,COLUMN('Implemente &amp; Waens'!N$5),FALSE))</f>
        <v>0</v>
      </c>
      <c r="BL15" s="415">
        <f t="shared" ref="BL15:BL56" si="27">SUM(BJ15:BK15)</f>
        <v>0</v>
      </c>
      <c r="BM15" s="414">
        <f>IF($I15=0,0,VLOOKUP($I15,'Implemente &amp; Waens'!$A:$Z,COLUMN('Implemente &amp; Waens'!I$5),FALSE)*$E$9/100)</f>
        <v>0</v>
      </c>
      <c r="BN15" s="414">
        <f>IF($I15=0,0,VLOOKUP($I15,'Implemente &amp; Waens'!$A:$Z,COLUMN('Implemente &amp; Waens'!J$5),FALSE))</f>
        <v>0</v>
      </c>
      <c r="BO15" s="414">
        <f>IF($I15=0,0,VLOOKUP($I15,'Implemente &amp; Waens'!$A:$Z,COLUMN('Implemente &amp; Waens'!K$5),FALSE)/$G$8*$E$8)</f>
        <v>0</v>
      </c>
      <c r="BP15" s="415">
        <f t="shared" ref="BP15:BP56" si="28">SUM(BM15:BO15)</f>
        <v>0</v>
      </c>
      <c r="BQ15" s="416">
        <f t="shared" ref="BQ15:BQ56" si="29">SUM(BL15,BP15)</f>
        <v>0</v>
      </c>
    </row>
    <row r="16" spans="2:69">
      <c r="B16" s="397"/>
      <c r="C16" s="731" t="s">
        <v>1242</v>
      </c>
      <c r="D16" s="398">
        <f>Trekkers!A96</f>
        <v>96</v>
      </c>
      <c r="E16" s="399">
        <f>IF($D16="",0,VLOOKUP($D16,Trekkers!$A:$U,COLUMN(Trekkers!C$5),FALSE))</f>
        <v>275</v>
      </c>
      <c r="F16" s="399">
        <f>IF($D16="",0,VLOOKUP($D16,Trekkers!$A:$U,COLUMN(Trekkers!D$5),FALSE))</f>
        <v>368.78107463863279</v>
      </c>
      <c r="G16" s="399" t="str">
        <f>IF($D16="",0,VLOOKUP($D16,Trekkers!$A:$U,COLUMN(Trekkers!E$5),FALSE))</f>
        <v>4W</v>
      </c>
      <c r="H16" s="815" t="s">
        <v>132</v>
      </c>
      <c r="I16" s="398">
        <f>'Implemente &amp; Waens'!A$106</f>
        <v>106</v>
      </c>
      <c r="J16" s="400" t="str">
        <f>IF($I16=0,0,VLOOKUP($I16,'Implemente &amp; Waens'!$A:$Z,COLUMN('Implemente &amp; Waens'!C$5),FALSE))</f>
        <v>Skeurploeg 475mm : 7tand, 2.6m, 3-punt</v>
      </c>
      <c r="K16" s="968">
        <v>3.5</v>
      </c>
      <c r="L16" s="762">
        <v>8</v>
      </c>
      <c r="M16" s="763">
        <v>0.8</v>
      </c>
      <c r="N16" s="402">
        <f t="shared" si="1"/>
        <v>0.44642857142857145</v>
      </c>
      <c r="O16" s="403">
        <f>K16*L16*M16/10</f>
        <v>2.2400000000000002</v>
      </c>
      <c r="P16" s="915">
        <f t="shared" ref="P16:P57" si="30">$AU16-$AM16-$AS16*100%-$AQ16*50%</f>
        <v>347.24330357142856</v>
      </c>
      <c r="Q16" s="915">
        <f t="shared" ref="Q16:Q57" si="31">$AU16-$AM16-$AS16*100%-$AQ16*0%</f>
        <v>446.83035714285711</v>
      </c>
      <c r="R16" s="915">
        <f t="shared" ref="R16:R57" si="32">$AU16-$AM16-$AS16*50%-$AQ16*0%</f>
        <v>566.94196428571433</v>
      </c>
      <c r="S16" s="923">
        <f t="shared" ref="S16:S57" si="33">$AU16-$AM16-$AS16*0%-$AQ16*0%</f>
        <v>687.05357142857144</v>
      </c>
      <c r="T16" s="917">
        <f t="shared" ref="T16:T57" si="34">AL16</f>
        <v>22.098214285714288</v>
      </c>
      <c r="U16" s="919">
        <f t="shared" ref="U16:U57" si="35">AM16</f>
        <v>271.80803571428578</v>
      </c>
      <c r="V16" s="923">
        <f t="shared" ref="V16:V57" si="36">S16+U16</f>
        <v>958.86160714285722</v>
      </c>
      <c r="X16" s="404">
        <f t="shared" si="3"/>
        <v>1044.95</v>
      </c>
      <c r="Y16" s="405">
        <f t="shared" si="4"/>
        <v>980.15000000000009</v>
      </c>
      <c r="Z16" s="419">
        <f t="shared" si="4"/>
        <v>2025.1000000000001</v>
      </c>
      <c r="AA16" s="404">
        <f t="shared" si="5"/>
        <v>29.8</v>
      </c>
      <c r="AB16" s="405">
        <f t="shared" si="6"/>
        <v>92.95</v>
      </c>
      <c r="AC16" s="407">
        <f t="shared" si="6"/>
        <v>122.75</v>
      </c>
      <c r="AD16" s="408">
        <f>AE16-AY16</f>
        <v>1539.0000000000005</v>
      </c>
      <c r="AE16" s="409">
        <f t="shared" si="8"/>
        <v>2147.8500000000004</v>
      </c>
      <c r="AF16" s="410">
        <f t="shared" si="9"/>
        <v>0.44642857142857145</v>
      </c>
      <c r="AG16" s="411">
        <f>AH16-AM16</f>
        <v>687.05357142857144</v>
      </c>
      <c r="AH16" s="412">
        <f t="shared" si="11"/>
        <v>958.86160714285722</v>
      </c>
      <c r="AJ16" s="730">
        <v>1</v>
      </c>
      <c r="AL16" s="413">
        <f t="shared" si="12"/>
        <v>22.098214285714288</v>
      </c>
      <c r="AM16" s="414">
        <f t="shared" si="13"/>
        <v>271.80803571428578</v>
      </c>
      <c r="AN16" s="414">
        <f t="shared" si="14"/>
        <v>207.99107142857144</v>
      </c>
      <c r="AO16" s="414">
        <f t="shared" si="15"/>
        <v>0</v>
      </c>
      <c r="AP16" s="415">
        <f t="shared" si="16"/>
        <v>479.79910714285722</v>
      </c>
      <c r="AQ16" s="414">
        <f t="shared" si="17"/>
        <v>199.17410714285714</v>
      </c>
      <c r="AR16" s="414">
        <f t="shared" si="18"/>
        <v>39.665178571428577</v>
      </c>
      <c r="AS16" s="414">
        <f t="shared" si="19"/>
        <v>240.22321428571431</v>
      </c>
      <c r="AT16" s="415">
        <f t="shared" si="20"/>
        <v>479.0625</v>
      </c>
      <c r="AU16" s="416">
        <f t="shared" si="21"/>
        <v>958.86160714285722</v>
      </c>
      <c r="AV16" s="417"/>
      <c r="AW16" s="418">
        <f t="shared" si="22"/>
        <v>96</v>
      </c>
      <c r="AX16" s="413">
        <f>IF(D16="",0,E16*VLOOKUP(H16,Trekkers!$E$141:$L$143,COLUMNS(Trekkers!$E$141:$L$141),FALSE)*AJ16)</f>
        <v>49.5</v>
      </c>
      <c r="AY16" s="414">
        <f t="shared" si="23"/>
        <v>608.85</v>
      </c>
      <c r="AZ16" s="414">
        <f>IF(D16="",0,VLOOKUP($D16,Trekkers!$A:$V,COLUMN(Trekkers!$K$5),FALSE))</f>
        <v>436.1</v>
      </c>
      <c r="BA16" s="414">
        <f>0</f>
        <v>0</v>
      </c>
      <c r="BB16" s="415">
        <f t="shared" si="24"/>
        <v>1044.95</v>
      </c>
      <c r="BC16" s="414">
        <f>IF($D16="",0,VLOOKUP($D16,Trekkers!$A:$V,COLUMN(Trekkers!$G$5),FALSE)*$E$9/100)</f>
        <v>392.5</v>
      </c>
      <c r="BD16" s="414">
        <f>IF($D16="",0,VLOOKUP($D16,Trekkers!$A:$V,COLUMN(Trekkers!$H$5),FALSE))</f>
        <v>83.95</v>
      </c>
      <c r="BE16" s="414">
        <f>IF($D16="",0,VLOOKUP($D16,Trekkers!$A:$V,COLUMN(Trekkers!$I$5),FALSE)/$G$8*$E$8)</f>
        <v>503.70000000000005</v>
      </c>
      <c r="BF16" s="415">
        <f t="shared" si="25"/>
        <v>980.15000000000009</v>
      </c>
      <c r="BG16" s="416">
        <f t="shared" si="26"/>
        <v>2025.1000000000001</v>
      </c>
      <c r="BH16" s="417"/>
      <c r="BI16" s="418">
        <f t="shared" si="0"/>
        <v>106</v>
      </c>
      <c r="BJ16" s="414">
        <f>IF($I16=0,0,VLOOKUP($I16,'Implemente &amp; Waens'!$A:$Z,COLUMN('Implemente &amp; Waens'!M$5),FALSE))</f>
        <v>29.8</v>
      </c>
      <c r="BK16" s="414">
        <f>IF($I16=0,0,VLOOKUP($I16,'Implemente &amp; Waens'!$A:$Z,COLUMN('Implemente &amp; Waens'!N$5),FALSE))</f>
        <v>0</v>
      </c>
      <c r="BL16" s="415">
        <f t="shared" si="27"/>
        <v>29.8</v>
      </c>
      <c r="BM16" s="414">
        <f>IF($I16=0,0,VLOOKUP($I16,'Implemente &amp; Waens'!$A:$Z,COLUMN('Implemente &amp; Waens'!I$5),FALSE)*$E$9/100)</f>
        <v>53.650000000000006</v>
      </c>
      <c r="BN16" s="414">
        <f>IF($I16=0,0,VLOOKUP($I16,'Implemente &amp; Waens'!$A:$Z,COLUMN('Implemente &amp; Waens'!J$5),FALSE))</f>
        <v>4.9000000000000004</v>
      </c>
      <c r="BO16" s="414">
        <f>IF($I16=0,0,VLOOKUP($I16,'Implemente &amp; Waens'!$A:$Z,COLUMN('Implemente &amp; Waens'!K$5),FALSE)/$G$8*$E$8)</f>
        <v>34.4</v>
      </c>
      <c r="BP16" s="415">
        <f t="shared" si="28"/>
        <v>92.95</v>
      </c>
      <c r="BQ16" s="416">
        <f t="shared" si="29"/>
        <v>122.75</v>
      </c>
    </row>
    <row r="17" spans="2:69">
      <c r="B17" s="397"/>
      <c r="C17" s="731" t="s">
        <v>1243</v>
      </c>
      <c r="D17" s="398">
        <f>Trekkers!A64</f>
        <v>64</v>
      </c>
      <c r="E17" s="399">
        <f>IF($D17="",0,VLOOKUP($D17,Trekkers!$A:$U,COLUMN(Trekkers!C$5),FALSE))</f>
        <v>140</v>
      </c>
      <c r="F17" s="399">
        <f>IF($D17="",0,VLOOKUP($D17,Trekkers!$A:$U,COLUMN(Trekkers!D$5),FALSE))</f>
        <v>187.74309254330396</v>
      </c>
      <c r="G17" s="399" t="str">
        <f>IF($D17="",0,VLOOKUP($D17,Trekkers!$A:$U,COLUMN(Trekkers!E$5),FALSE))</f>
        <v>4W</v>
      </c>
      <c r="H17" s="815" t="s">
        <v>133</v>
      </c>
      <c r="I17" s="398">
        <f>'Implemente &amp; Waens'!A$172</f>
        <v>172</v>
      </c>
      <c r="J17" s="400" t="str">
        <f>IF($I17=0,0,VLOOKUP($I17,'Implemente &amp; Waens'!$A:$Z,COLUMN('Implemente &amp; Waens'!C$5),FALSE))</f>
        <v>Skottelploeg : 22 x 305mm = 5.775m</v>
      </c>
      <c r="K17" s="968">
        <v>5.8</v>
      </c>
      <c r="L17" s="762">
        <v>8</v>
      </c>
      <c r="M17" s="763">
        <v>0.8</v>
      </c>
      <c r="N17" s="402">
        <f t="shared" si="1"/>
        <v>0.26939655172413796</v>
      </c>
      <c r="O17" s="403">
        <f t="shared" ref="O17:O56" si="37">K17*L17*M17/10</f>
        <v>3.7119999999999997</v>
      </c>
      <c r="P17" s="915">
        <f t="shared" si="30"/>
        <v>144.73329741379308</v>
      </c>
      <c r="Q17" s="915">
        <f t="shared" si="31"/>
        <v>192.7936422413793</v>
      </c>
      <c r="R17" s="915">
        <f t="shared" si="32"/>
        <v>228.76481681034483</v>
      </c>
      <c r="S17" s="923">
        <f t="shared" si="33"/>
        <v>264.73599137931035</v>
      </c>
      <c r="T17" s="917">
        <f t="shared" si="34"/>
        <v>5.940193965517242</v>
      </c>
      <c r="U17" s="919">
        <f t="shared" si="35"/>
        <v>73.064385775862078</v>
      </c>
      <c r="V17" s="923">
        <f t="shared" si="36"/>
        <v>337.80037715517244</v>
      </c>
      <c r="X17" s="404">
        <f t="shared" si="3"/>
        <v>469.16500000000008</v>
      </c>
      <c r="Y17" s="405">
        <f t="shared" si="4"/>
        <v>355.95000000000005</v>
      </c>
      <c r="Z17" s="406">
        <f t="shared" si="4"/>
        <v>825.11500000000012</v>
      </c>
      <c r="AA17" s="404">
        <f t="shared" si="5"/>
        <v>119.10000000000001</v>
      </c>
      <c r="AB17" s="405">
        <f t="shared" si="6"/>
        <v>309.70000000000005</v>
      </c>
      <c r="AC17" s="407">
        <f t="shared" si="6"/>
        <v>428.80000000000007</v>
      </c>
      <c r="AD17" s="408">
        <f t="shared" ref="AD17:AD57" si="38">AE17-AY17</f>
        <v>982.70000000000016</v>
      </c>
      <c r="AE17" s="409">
        <f t="shared" si="8"/>
        <v>1253.9150000000002</v>
      </c>
      <c r="AF17" s="410">
        <f t="shared" si="9"/>
        <v>0.26939655172413796</v>
      </c>
      <c r="AG17" s="411">
        <f t="shared" ref="AG17:AG57" si="39">AH17-AM17</f>
        <v>264.73599137931035</v>
      </c>
      <c r="AH17" s="412">
        <f t="shared" si="11"/>
        <v>337.80037715517244</v>
      </c>
      <c r="AJ17" s="730">
        <v>1</v>
      </c>
      <c r="AL17" s="413">
        <f t="shared" si="12"/>
        <v>5.940193965517242</v>
      </c>
      <c r="AM17" s="414">
        <f t="shared" si="13"/>
        <v>73.064385775862078</v>
      </c>
      <c r="AN17" s="414">
        <f t="shared" si="14"/>
        <v>85.412176724137936</v>
      </c>
      <c r="AO17" s="414">
        <f t="shared" si="15"/>
        <v>0</v>
      </c>
      <c r="AP17" s="415">
        <f t="shared" si="16"/>
        <v>158.4765625</v>
      </c>
      <c r="AQ17" s="414">
        <f t="shared" si="17"/>
        <v>96.120689655172427</v>
      </c>
      <c r="AR17" s="414">
        <f t="shared" si="18"/>
        <v>11.260775862068968</v>
      </c>
      <c r="AS17" s="414">
        <f t="shared" si="19"/>
        <v>71.942349137931046</v>
      </c>
      <c r="AT17" s="415">
        <f t="shared" si="20"/>
        <v>179.32381465517244</v>
      </c>
      <c r="AU17" s="416">
        <f t="shared" si="21"/>
        <v>337.80037715517244</v>
      </c>
      <c r="AV17" s="417"/>
      <c r="AW17" s="418">
        <f t="shared" si="22"/>
        <v>64</v>
      </c>
      <c r="AX17" s="413">
        <f>IF(D17="",0,E17*VLOOKUP(H17,Trekkers!$E$141:$L$143,COLUMNS(Trekkers!$E$141:$L$141),FALSE)*AJ17)</f>
        <v>22.05</v>
      </c>
      <c r="AY17" s="414">
        <f t="shared" si="23"/>
        <v>271.21500000000003</v>
      </c>
      <c r="AZ17" s="414">
        <f>IF(D17="",0,VLOOKUP($D17,Trekkers!$A:$V,COLUMN(Trekkers!$K$5),FALSE))</f>
        <v>197.95000000000002</v>
      </c>
      <c r="BA17" s="414">
        <f>0</f>
        <v>0</v>
      </c>
      <c r="BB17" s="415">
        <f t="shared" si="24"/>
        <v>469.16500000000008</v>
      </c>
      <c r="BC17" s="414">
        <f>IF($D17="",0,VLOOKUP($D17,Trekkers!$A:$V,COLUMN(Trekkers!$G$5),FALSE)*$E$9/100)</f>
        <v>178.15</v>
      </c>
      <c r="BD17" s="414">
        <f>IF($D17="",0,VLOOKUP($D17,Trekkers!$A:$V,COLUMN(Trekkers!$H$5),FALSE))</f>
        <v>25.400000000000002</v>
      </c>
      <c r="BE17" s="414">
        <f>IF($D17="",0,VLOOKUP($D17,Trekkers!$A:$V,COLUMN(Trekkers!$I$5),FALSE)/$G$8*$E$8)</f>
        <v>152.4</v>
      </c>
      <c r="BF17" s="415">
        <f t="shared" si="25"/>
        <v>355.95000000000005</v>
      </c>
      <c r="BG17" s="416">
        <f t="shared" si="26"/>
        <v>825.11500000000012</v>
      </c>
      <c r="BH17" s="417"/>
      <c r="BI17" s="418">
        <f t="shared" si="0"/>
        <v>172</v>
      </c>
      <c r="BJ17" s="414">
        <f>IF($I17=0,0,VLOOKUP($I17,'Implemente &amp; Waens'!$A:$Z,COLUMN('Implemente &amp; Waens'!M$5),FALSE))</f>
        <v>119.10000000000001</v>
      </c>
      <c r="BK17" s="414">
        <f>IF($I17=0,0,VLOOKUP($I17,'Implemente &amp; Waens'!$A:$Z,COLUMN('Implemente &amp; Waens'!N$5),FALSE))</f>
        <v>0</v>
      </c>
      <c r="BL17" s="415">
        <f t="shared" si="27"/>
        <v>119.10000000000001</v>
      </c>
      <c r="BM17" s="414">
        <f>IF($I17=0,0,VLOOKUP($I17,'Implemente &amp; Waens'!$A:$Z,COLUMN('Implemente &amp; Waens'!I$5),FALSE)*$E$9/100)</f>
        <v>178.65</v>
      </c>
      <c r="BN17" s="414">
        <f>IF($I17=0,0,VLOOKUP($I17,'Implemente &amp; Waens'!$A:$Z,COLUMN('Implemente &amp; Waens'!J$5),FALSE))</f>
        <v>16.400000000000002</v>
      </c>
      <c r="BO17" s="414">
        <f>IF($I17=0,0,VLOOKUP($I17,'Implemente &amp; Waens'!$A:$Z,COLUMN('Implemente &amp; Waens'!K$5),FALSE)/$G$8*$E$8)</f>
        <v>114.65</v>
      </c>
      <c r="BP17" s="415">
        <f t="shared" si="28"/>
        <v>309.70000000000005</v>
      </c>
      <c r="BQ17" s="416">
        <f t="shared" si="29"/>
        <v>428.80000000000007</v>
      </c>
    </row>
    <row r="18" spans="2:69">
      <c r="B18" s="397"/>
      <c r="C18" s="731" t="s">
        <v>1244</v>
      </c>
      <c r="D18" s="398">
        <f>Trekkers!A62</f>
        <v>62</v>
      </c>
      <c r="E18" s="399">
        <f>IF($D18="",0,VLOOKUP($D18,Trekkers!$A:$U,COLUMN(Trekkers!C$5),FALSE))</f>
        <v>130</v>
      </c>
      <c r="F18" s="399">
        <f>IF($D18="",0,VLOOKUP($D18,Trekkers!$A:$U,COLUMN(Trekkers!D$5),FALSE))</f>
        <v>174.33287164735367</v>
      </c>
      <c r="G18" s="399" t="str">
        <f>IF($D18="",0,VLOOKUP($D18,Trekkers!$A:$U,COLUMN(Trekkers!E$5),FALSE))</f>
        <v>4W</v>
      </c>
      <c r="H18" s="815" t="s">
        <v>133</v>
      </c>
      <c r="I18" s="398">
        <f>'Implemente &amp; Waens'!A$24</f>
        <v>24</v>
      </c>
      <c r="J18" s="400" t="str">
        <f>IF($I18=0,0,VLOOKUP($I18,'Implemente &amp; Waens'!$A:$Z,COLUMN('Implemente &amp; Waens'!C$5),FALSE))</f>
        <v>Fieldspan : 41 tand, 6.1m, sleep, 'S'-tand</v>
      </c>
      <c r="K18" s="968">
        <v>6.1</v>
      </c>
      <c r="L18" s="762">
        <v>8</v>
      </c>
      <c r="M18" s="763">
        <v>0.8</v>
      </c>
      <c r="N18" s="402">
        <f t="shared" si="1"/>
        <v>0.25614754098360654</v>
      </c>
      <c r="O18" s="403">
        <f t="shared" si="37"/>
        <v>3.9039999999999999</v>
      </c>
      <c r="P18" s="915">
        <f t="shared" si="30"/>
        <v>90.509733606557376</v>
      </c>
      <c r="Q18" s="915">
        <f t="shared" si="31"/>
        <v>119.03176229508196</v>
      </c>
      <c r="R18" s="915">
        <f t="shared" si="32"/>
        <v>141.75204918032784</v>
      </c>
      <c r="S18" s="923">
        <f t="shared" si="33"/>
        <v>164.47233606557376</v>
      </c>
      <c r="T18" s="917">
        <f t="shared" si="34"/>
        <v>5.2446209016393439</v>
      </c>
      <c r="U18" s="919">
        <f t="shared" si="35"/>
        <v>64.508837090163937</v>
      </c>
      <c r="V18" s="923">
        <f t="shared" si="36"/>
        <v>228.98117315573768</v>
      </c>
      <c r="X18" s="404">
        <f t="shared" si="3"/>
        <v>431.09250000000003</v>
      </c>
      <c r="Y18" s="405">
        <f t="shared" si="4"/>
        <v>322.3</v>
      </c>
      <c r="Z18" s="406">
        <f t="shared" si="4"/>
        <v>753.39250000000004</v>
      </c>
      <c r="AA18" s="404">
        <f t="shared" si="5"/>
        <v>34.1</v>
      </c>
      <c r="AB18" s="405">
        <f t="shared" si="6"/>
        <v>106.45000000000002</v>
      </c>
      <c r="AC18" s="407">
        <f t="shared" si="6"/>
        <v>140.55000000000001</v>
      </c>
      <c r="AD18" s="408">
        <f t="shared" si="38"/>
        <v>642.10000000000014</v>
      </c>
      <c r="AE18" s="409">
        <f t="shared" si="8"/>
        <v>893.94250000000011</v>
      </c>
      <c r="AF18" s="410">
        <f t="shared" si="9"/>
        <v>0.25614754098360654</v>
      </c>
      <c r="AG18" s="411">
        <f t="shared" si="39"/>
        <v>164.47233606557376</v>
      </c>
      <c r="AH18" s="412">
        <f t="shared" si="11"/>
        <v>228.98117315573768</v>
      </c>
      <c r="AJ18" s="730">
        <v>1</v>
      </c>
      <c r="AL18" s="413">
        <f t="shared" si="12"/>
        <v>5.2446209016393439</v>
      </c>
      <c r="AM18" s="414">
        <f t="shared" si="13"/>
        <v>64.508837090163937</v>
      </c>
      <c r="AN18" s="414">
        <f t="shared" si="14"/>
        <v>54.649077868852451</v>
      </c>
      <c r="AO18" s="414">
        <f t="shared" si="15"/>
        <v>0</v>
      </c>
      <c r="AP18" s="415">
        <f t="shared" si="16"/>
        <v>119.15791495901638</v>
      </c>
      <c r="AQ18" s="414">
        <f t="shared" si="17"/>
        <v>57.044057377049178</v>
      </c>
      <c r="AR18" s="414">
        <f t="shared" si="18"/>
        <v>7.3386270491803272</v>
      </c>
      <c r="AS18" s="414">
        <f t="shared" si="19"/>
        <v>45.440573770491802</v>
      </c>
      <c r="AT18" s="415">
        <f t="shared" si="20"/>
        <v>109.8232581967213</v>
      </c>
      <c r="AU18" s="416">
        <f t="shared" si="21"/>
        <v>228.98117315573768</v>
      </c>
      <c r="AV18" s="417"/>
      <c r="AW18" s="418">
        <f t="shared" si="22"/>
        <v>62</v>
      </c>
      <c r="AX18" s="413">
        <f>IF(D18="",0,E18*VLOOKUP(H18,Trekkers!$E$141:$L$143,COLUMNS(Trekkers!$E$141:$L$141),FALSE)*AJ18)</f>
        <v>20.475000000000001</v>
      </c>
      <c r="AY18" s="414">
        <f t="shared" si="23"/>
        <v>251.84250000000003</v>
      </c>
      <c r="AZ18" s="414">
        <f>IF(D18="",0,VLOOKUP($D18,Trekkers!$A:$V,COLUMN(Trekkers!$K$5),FALSE))</f>
        <v>179.25</v>
      </c>
      <c r="BA18" s="414">
        <f>0</f>
        <v>0</v>
      </c>
      <c r="BB18" s="415">
        <f t="shared" si="24"/>
        <v>431.09250000000003</v>
      </c>
      <c r="BC18" s="414">
        <f>IF($D18="",0,VLOOKUP($D18,Trekkers!$A:$V,COLUMN(Trekkers!$G$5),FALSE)*$E$9/100)</f>
        <v>161.30000000000001</v>
      </c>
      <c r="BD18" s="414">
        <f>IF($D18="",0,VLOOKUP($D18,Trekkers!$A:$V,COLUMN(Trekkers!$H$5),FALSE))</f>
        <v>23</v>
      </c>
      <c r="BE18" s="414">
        <f>IF($D18="",0,VLOOKUP($D18,Trekkers!$A:$V,COLUMN(Trekkers!$I$5),FALSE)/$G$8*$E$8)</f>
        <v>138</v>
      </c>
      <c r="BF18" s="415">
        <f t="shared" si="25"/>
        <v>322.3</v>
      </c>
      <c r="BG18" s="416">
        <f t="shared" si="26"/>
        <v>753.39250000000004</v>
      </c>
      <c r="BH18" s="417"/>
      <c r="BI18" s="418">
        <f t="shared" si="0"/>
        <v>24</v>
      </c>
      <c r="BJ18" s="414">
        <f>IF($I18=0,0,VLOOKUP($I18,'Implemente &amp; Waens'!$A:$Z,COLUMN('Implemente &amp; Waens'!M$5),FALSE))</f>
        <v>34.1</v>
      </c>
      <c r="BK18" s="414">
        <f>IF($I18=0,0,VLOOKUP($I18,'Implemente &amp; Waens'!$A:$Z,COLUMN('Implemente &amp; Waens'!N$5),FALSE))</f>
        <v>0</v>
      </c>
      <c r="BL18" s="415">
        <f t="shared" si="27"/>
        <v>34.1</v>
      </c>
      <c r="BM18" s="414">
        <f>IF($I18=0,0,VLOOKUP($I18,'Implemente &amp; Waens'!$A:$Z,COLUMN('Implemente &amp; Waens'!I$5),FALSE)*$E$9/100)</f>
        <v>61.400000000000006</v>
      </c>
      <c r="BN18" s="414">
        <f>IF($I18=0,0,VLOOKUP($I18,'Implemente &amp; Waens'!$A:$Z,COLUMN('Implemente &amp; Waens'!J$5),FALSE))</f>
        <v>5.65</v>
      </c>
      <c r="BO18" s="414">
        <f>IF($I18=0,0,VLOOKUP($I18,'Implemente &amp; Waens'!$A:$Z,COLUMN('Implemente &amp; Waens'!K$5),FALSE)/$G$8*$E$8)</f>
        <v>39.400000000000006</v>
      </c>
      <c r="BP18" s="415">
        <f t="shared" si="28"/>
        <v>106.45000000000002</v>
      </c>
      <c r="BQ18" s="416">
        <f t="shared" si="29"/>
        <v>140.55000000000001</v>
      </c>
    </row>
    <row r="19" spans="2:69">
      <c r="B19" s="397"/>
      <c r="C19" s="731" t="s">
        <v>1245</v>
      </c>
      <c r="D19" s="398">
        <f>Trekkers!A63</f>
        <v>63</v>
      </c>
      <c r="E19" s="399">
        <f>IF($D19="",0,VLOOKUP($D19,Trekkers!$A:$U,COLUMN(Trekkers!C$5),FALSE))</f>
        <v>135</v>
      </c>
      <c r="F19" s="399">
        <f>IF($D19="",0,VLOOKUP($D19,Trekkers!$A:$U,COLUMN(Trekkers!D$5),FALSE))</f>
        <v>181.0379820953288</v>
      </c>
      <c r="G19" s="399" t="str">
        <f>IF($D19="",0,VLOOKUP($D19,Trekkers!$A:$U,COLUMN(Trekkers!E$5),FALSE))</f>
        <v>4W</v>
      </c>
      <c r="H19" s="815" t="s">
        <v>133</v>
      </c>
      <c r="I19" s="398">
        <f>'Implemente &amp; Waens'!A$40</f>
        <v>40</v>
      </c>
      <c r="J19" s="400" t="str">
        <f>IF($I19=0,0,VLOOKUP($I19,'Implemente &amp; Waens'!$A:$Z,COLUMN('Implemente &amp; Waens'!C$5),FALSE))</f>
        <v>Trash Handicult : 23tand, 5.2m, 3-punt, HD 'S' Tand</v>
      </c>
      <c r="K19" s="968">
        <v>5.2</v>
      </c>
      <c r="L19" s="762">
        <v>8</v>
      </c>
      <c r="M19" s="763">
        <v>0.8</v>
      </c>
      <c r="N19" s="402">
        <f t="shared" si="1"/>
        <v>0.30048076923076922</v>
      </c>
      <c r="O19" s="403">
        <f t="shared" si="37"/>
        <v>3.3280000000000003</v>
      </c>
      <c r="P19" s="915">
        <f t="shared" si="30"/>
        <v>99.842247596153882</v>
      </c>
      <c r="Q19" s="915">
        <f t="shared" si="31"/>
        <v>129.88281250000003</v>
      </c>
      <c r="R19" s="915">
        <f t="shared" si="32"/>
        <v>154.61237980769232</v>
      </c>
      <c r="S19" s="923">
        <f t="shared" si="33"/>
        <v>179.34194711538464</v>
      </c>
      <c r="T19" s="917">
        <f t="shared" si="34"/>
        <v>6.3889723557692299</v>
      </c>
      <c r="U19" s="919">
        <f t="shared" si="35"/>
        <v>78.584359975961533</v>
      </c>
      <c r="V19" s="923">
        <f t="shared" si="36"/>
        <v>257.92630709134619</v>
      </c>
      <c r="X19" s="404">
        <f t="shared" si="3"/>
        <v>450.07875000000001</v>
      </c>
      <c r="Y19" s="405">
        <f t="shared" si="4"/>
        <v>339.1</v>
      </c>
      <c r="Z19" s="406">
        <f t="shared" si="4"/>
        <v>789.17875000000004</v>
      </c>
      <c r="AA19" s="404">
        <f t="shared" si="5"/>
        <v>16.8</v>
      </c>
      <c r="AB19" s="405">
        <f t="shared" si="6"/>
        <v>52.400000000000006</v>
      </c>
      <c r="AC19" s="407">
        <f t="shared" si="6"/>
        <v>69.2</v>
      </c>
      <c r="AD19" s="408">
        <f t="shared" si="38"/>
        <v>596.85000000000014</v>
      </c>
      <c r="AE19" s="409">
        <f t="shared" si="8"/>
        <v>858.37875000000008</v>
      </c>
      <c r="AF19" s="410">
        <f t="shared" si="9"/>
        <v>0.30048076923076922</v>
      </c>
      <c r="AG19" s="411">
        <f t="shared" si="39"/>
        <v>179.34194711538464</v>
      </c>
      <c r="AH19" s="412">
        <f t="shared" si="11"/>
        <v>257.92630709134619</v>
      </c>
      <c r="AJ19" s="730">
        <v>1</v>
      </c>
      <c r="AL19" s="413">
        <f t="shared" si="12"/>
        <v>6.3889723557692299</v>
      </c>
      <c r="AM19" s="414">
        <f t="shared" si="13"/>
        <v>78.584359975961533</v>
      </c>
      <c r="AN19" s="414">
        <f t="shared" si="14"/>
        <v>61.703725961538467</v>
      </c>
      <c r="AO19" s="414">
        <f t="shared" si="15"/>
        <v>0</v>
      </c>
      <c r="AP19" s="415">
        <f t="shared" si="16"/>
        <v>140.2880859375</v>
      </c>
      <c r="AQ19" s="414">
        <f t="shared" si="17"/>
        <v>60.081129807692299</v>
      </c>
      <c r="AR19" s="414">
        <f t="shared" si="18"/>
        <v>8.0979567307692317</v>
      </c>
      <c r="AS19" s="414">
        <f t="shared" si="19"/>
        <v>49.45913461538462</v>
      </c>
      <c r="AT19" s="415">
        <f t="shared" si="20"/>
        <v>117.63822115384616</v>
      </c>
      <c r="AU19" s="416">
        <f t="shared" si="21"/>
        <v>257.92630709134619</v>
      </c>
      <c r="AV19" s="417"/>
      <c r="AW19" s="418">
        <f t="shared" si="22"/>
        <v>63</v>
      </c>
      <c r="AX19" s="413">
        <f>IF(D19="",0,E19*VLOOKUP(H19,Trekkers!$E$141:$L$143,COLUMNS(Trekkers!$E$141:$L$141),FALSE)*AJ19)</f>
        <v>21.262499999999999</v>
      </c>
      <c r="AY19" s="414">
        <f t="shared" si="23"/>
        <v>261.52875</v>
      </c>
      <c r="AZ19" s="414">
        <f>IF(D19="",0,VLOOKUP($D19,Trekkers!$A:$V,COLUMN(Trekkers!$K$5),FALSE))</f>
        <v>188.55</v>
      </c>
      <c r="BA19" s="414">
        <f>0</f>
        <v>0</v>
      </c>
      <c r="BB19" s="415">
        <f t="shared" si="24"/>
        <v>450.07875000000001</v>
      </c>
      <c r="BC19" s="414">
        <f>IF($D19="",0,VLOOKUP($D19,Trekkers!$A:$V,COLUMN(Trekkers!$G$5),FALSE)*$E$9/100)</f>
        <v>169.7</v>
      </c>
      <c r="BD19" s="414">
        <f>IF($D19="",0,VLOOKUP($D19,Trekkers!$A:$V,COLUMN(Trekkers!$H$5),FALSE))</f>
        <v>24.200000000000003</v>
      </c>
      <c r="BE19" s="414">
        <f>IF($D19="",0,VLOOKUP($D19,Trekkers!$A:$V,COLUMN(Trekkers!$I$5),FALSE)/$G$8*$E$8)</f>
        <v>145.20000000000002</v>
      </c>
      <c r="BF19" s="415">
        <f t="shared" si="25"/>
        <v>339.1</v>
      </c>
      <c r="BG19" s="416">
        <f t="shared" si="26"/>
        <v>789.17875000000004</v>
      </c>
      <c r="BH19" s="417"/>
      <c r="BI19" s="418">
        <f t="shared" si="0"/>
        <v>40</v>
      </c>
      <c r="BJ19" s="414">
        <f>IF($I19=0,0,VLOOKUP($I19,'Implemente &amp; Waens'!$A:$Z,COLUMN('Implemente &amp; Waens'!M$5),FALSE))</f>
        <v>16.8</v>
      </c>
      <c r="BK19" s="414">
        <f>IF($I19=0,0,VLOOKUP($I19,'Implemente &amp; Waens'!$A:$Z,COLUMN('Implemente &amp; Waens'!N$5),FALSE))</f>
        <v>0</v>
      </c>
      <c r="BL19" s="415">
        <f t="shared" si="27"/>
        <v>16.8</v>
      </c>
      <c r="BM19" s="414">
        <f>IF($I19=0,0,VLOOKUP($I19,'Implemente &amp; Waens'!$A:$Z,COLUMN('Implemente &amp; Waens'!I$5),FALSE)*$E$9/100)</f>
        <v>30.25</v>
      </c>
      <c r="BN19" s="414">
        <f>IF($I19=0,0,VLOOKUP($I19,'Implemente &amp; Waens'!$A:$Z,COLUMN('Implemente &amp; Waens'!J$5),FALSE))</f>
        <v>2.75</v>
      </c>
      <c r="BO19" s="414">
        <f>IF($I19=0,0,VLOOKUP($I19,'Implemente &amp; Waens'!$A:$Z,COLUMN('Implemente &amp; Waens'!K$5),FALSE)/$G$8*$E$8)</f>
        <v>19.400000000000002</v>
      </c>
      <c r="BP19" s="415">
        <f t="shared" si="28"/>
        <v>52.400000000000006</v>
      </c>
      <c r="BQ19" s="416">
        <f t="shared" si="29"/>
        <v>69.2</v>
      </c>
    </row>
    <row r="20" spans="2:69">
      <c r="B20" s="397"/>
      <c r="C20" s="731" t="s">
        <v>1246</v>
      </c>
      <c r="D20" s="398">
        <f>Trekkers!A63</f>
        <v>63</v>
      </c>
      <c r="E20" s="399">
        <f>IF($D20="",0,VLOOKUP($D20,Trekkers!$A:$U,COLUMN(Trekkers!C$5),FALSE))</f>
        <v>135</v>
      </c>
      <c r="F20" s="399">
        <f>IF($D20="",0,VLOOKUP($D20,Trekkers!$A:$U,COLUMN(Trekkers!D$5),FALSE))</f>
        <v>181.0379820953288</v>
      </c>
      <c r="G20" s="399" t="str">
        <f>IF($D20="",0,VLOOKUP($D20,Trekkers!$A:$U,COLUMN(Trekkers!E$5),FALSE))</f>
        <v>4W</v>
      </c>
      <c r="H20" s="815" t="s">
        <v>132</v>
      </c>
      <c r="I20" s="398">
        <f>'Implemente &amp; Waens'!A$85</f>
        <v>85</v>
      </c>
      <c r="J20" s="400" t="str">
        <f>IF($I20=0,0,VLOOKUP($I20,'Implemente &amp; Waens'!$A:$Z,COLUMN('Implemente &amp; Waens'!C$5),FALSE))</f>
        <v>Beitelploeg : 19tand, 5.7m, sleep</v>
      </c>
      <c r="K20" s="969">
        <v>5</v>
      </c>
      <c r="L20" s="875">
        <v>6</v>
      </c>
      <c r="M20" s="876">
        <v>0.8</v>
      </c>
      <c r="N20" s="402">
        <f t="shared" si="1"/>
        <v>0.41666666666666669</v>
      </c>
      <c r="O20" s="403">
        <f t="shared" si="37"/>
        <v>2.4</v>
      </c>
      <c r="P20" s="915">
        <f t="shared" si="30"/>
        <v>238.26041666666669</v>
      </c>
      <c r="Q20" s="915">
        <f t="shared" si="31"/>
        <v>323.41666666666669</v>
      </c>
      <c r="R20" s="915">
        <f t="shared" si="32"/>
        <v>385.625</v>
      </c>
      <c r="S20" s="923">
        <f t="shared" si="33"/>
        <v>447.83333333333337</v>
      </c>
      <c r="T20" s="917">
        <f t="shared" si="34"/>
        <v>10.125</v>
      </c>
      <c r="U20" s="919">
        <f t="shared" si="35"/>
        <v>124.53750000000001</v>
      </c>
      <c r="V20" s="923">
        <f t="shared" si="36"/>
        <v>572.37083333333339</v>
      </c>
      <c r="X20" s="404">
        <f t="shared" si="3"/>
        <v>487.44000000000005</v>
      </c>
      <c r="Y20" s="405">
        <f t="shared" si="4"/>
        <v>339.1</v>
      </c>
      <c r="Z20" s="406">
        <f t="shared" si="4"/>
        <v>826.54000000000008</v>
      </c>
      <c r="AA20" s="404">
        <f t="shared" si="5"/>
        <v>132.80000000000001</v>
      </c>
      <c r="AB20" s="405">
        <f t="shared" si="6"/>
        <v>414.35</v>
      </c>
      <c r="AC20" s="407">
        <f t="shared" si="6"/>
        <v>547.15000000000009</v>
      </c>
      <c r="AD20" s="408">
        <f t="shared" si="38"/>
        <v>1074.8</v>
      </c>
      <c r="AE20" s="409">
        <f t="shared" si="8"/>
        <v>1373.69</v>
      </c>
      <c r="AF20" s="410">
        <f t="shared" si="9"/>
        <v>0.41666666666666669</v>
      </c>
      <c r="AG20" s="411">
        <f t="shared" si="39"/>
        <v>447.83333333333337</v>
      </c>
      <c r="AH20" s="412">
        <f t="shared" si="11"/>
        <v>572.37083333333339</v>
      </c>
      <c r="AJ20" s="730">
        <v>1</v>
      </c>
      <c r="AL20" s="413">
        <f t="shared" si="12"/>
        <v>10.125</v>
      </c>
      <c r="AM20" s="414">
        <f t="shared" si="13"/>
        <v>124.53750000000001</v>
      </c>
      <c r="AN20" s="414">
        <f t="shared" si="14"/>
        <v>133.89583333333334</v>
      </c>
      <c r="AO20" s="414">
        <f t="shared" si="15"/>
        <v>0</v>
      </c>
      <c r="AP20" s="415">
        <f t="shared" si="16"/>
        <v>258.43333333333334</v>
      </c>
      <c r="AQ20" s="414">
        <f t="shared" si="17"/>
        <v>170.3125</v>
      </c>
      <c r="AR20" s="414">
        <f t="shared" si="18"/>
        <v>19.208333333333339</v>
      </c>
      <c r="AS20" s="414">
        <f t="shared" si="19"/>
        <v>124.41666666666669</v>
      </c>
      <c r="AT20" s="415">
        <f t="shared" si="20"/>
        <v>313.9375</v>
      </c>
      <c r="AU20" s="416">
        <f t="shared" si="21"/>
        <v>572.37083333333339</v>
      </c>
      <c r="AV20" s="417"/>
      <c r="AW20" s="418">
        <f t="shared" si="22"/>
        <v>63</v>
      </c>
      <c r="AX20" s="413">
        <f>IF(D20="",0,E20*VLOOKUP(H20,Trekkers!$E$141:$L$143,COLUMNS(Trekkers!$E$141:$L$141),FALSE)*AJ20)</f>
        <v>24.3</v>
      </c>
      <c r="AY20" s="414">
        <f t="shared" si="23"/>
        <v>298.89000000000004</v>
      </c>
      <c r="AZ20" s="414">
        <f>IF(D20="",0,VLOOKUP($D20,Trekkers!$A:$V,COLUMN(Trekkers!$K$5),FALSE))</f>
        <v>188.55</v>
      </c>
      <c r="BA20" s="414">
        <f>0</f>
        <v>0</v>
      </c>
      <c r="BB20" s="415">
        <f t="shared" si="24"/>
        <v>487.44000000000005</v>
      </c>
      <c r="BC20" s="414">
        <f>IF($D20="",0,VLOOKUP($D20,Trekkers!$A:$V,COLUMN(Trekkers!$G$5),FALSE)*$E$9/100)</f>
        <v>169.7</v>
      </c>
      <c r="BD20" s="414">
        <f>IF($D20="",0,VLOOKUP($D20,Trekkers!$A:$V,COLUMN(Trekkers!$H$5),FALSE))</f>
        <v>24.200000000000003</v>
      </c>
      <c r="BE20" s="414">
        <f>IF($D20="",0,VLOOKUP($D20,Trekkers!$A:$V,COLUMN(Trekkers!$I$5),FALSE)/$G$8*$E$8)</f>
        <v>145.20000000000002</v>
      </c>
      <c r="BF20" s="415">
        <f t="shared" si="25"/>
        <v>339.1</v>
      </c>
      <c r="BG20" s="416">
        <f t="shared" si="26"/>
        <v>826.54000000000008</v>
      </c>
      <c r="BH20" s="417"/>
      <c r="BI20" s="418">
        <f t="shared" si="0"/>
        <v>85</v>
      </c>
      <c r="BJ20" s="414">
        <f>IF($I20=0,0,VLOOKUP($I20,'Implemente &amp; Waens'!$A:$Z,COLUMN('Implemente &amp; Waens'!M$5),FALSE))</f>
        <v>132.80000000000001</v>
      </c>
      <c r="BK20" s="414">
        <f>IF($I20=0,0,VLOOKUP($I20,'Implemente &amp; Waens'!$A:$Z,COLUMN('Implemente &amp; Waens'!N$5),FALSE))</f>
        <v>0</v>
      </c>
      <c r="BL20" s="415">
        <f t="shared" si="27"/>
        <v>132.80000000000001</v>
      </c>
      <c r="BM20" s="414">
        <f>IF($I20=0,0,VLOOKUP($I20,'Implemente &amp; Waens'!$A:$Z,COLUMN('Implemente &amp; Waens'!I$5),FALSE)*$E$9/100)</f>
        <v>239.05</v>
      </c>
      <c r="BN20" s="414">
        <f>IF($I20=0,0,VLOOKUP($I20,'Implemente &amp; Waens'!$A:$Z,COLUMN('Implemente &amp; Waens'!J$5),FALSE))</f>
        <v>21.900000000000002</v>
      </c>
      <c r="BO20" s="414">
        <f>IF($I20=0,0,VLOOKUP($I20,'Implemente &amp; Waens'!$A:$Z,COLUMN('Implemente &amp; Waens'!K$5),FALSE)/$G$8*$E$8)</f>
        <v>153.4</v>
      </c>
      <c r="BP20" s="415">
        <f t="shared" si="28"/>
        <v>414.35</v>
      </c>
      <c r="BQ20" s="416">
        <f t="shared" si="29"/>
        <v>547.15000000000009</v>
      </c>
    </row>
    <row r="21" spans="2:69">
      <c r="B21" s="397"/>
      <c r="C21" s="731" t="s">
        <v>1247</v>
      </c>
      <c r="D21" s="398">
        <f>Trekkers!A63</f>
        <v>63</v>
      </c>
      <c r="E21" s="399">
        <f>IF($D21="",0,VLOOKUP($D21,Trekkers!$A:$U,COLUMN(Trekkers!C$5),FALSE))</f>
        <v>135</v>
      </c>
      <c r="F21" s="399">
        <f>IF($D21="",0,VLOOKUP($D21,Trekkers!$A:$U,COLUMN(Trekkers!D$5),FALSE))</f>
        <v>181.0379820953288</v>
      </c>
      <c r="G21" s="399" t="str">
        <f>IF($D21="",0,VLOOKUP($D21,Trekkers!$A:$U,COLUMN(Trekkers!E$5),FALSE))</f>
        <v>4W</v>
      </c>
      <c r="H21" s="815" t="s">
        <v>133</v>
      </c>
      <c r="I21" s="398">
        <f>'Implemente &amp; Waens'!A$85</f>
        <v>85</v>
      </c>
      <c r="J21" s="400" t="str">
        <f>IF($I21=0,0,VLOOKUP($I21,'Implemente &amp; Waens'!$A:$Z,COLUMN('Implemente &amp; Waens'!C$5),FALSE))</f>
        <v>Beitelploeg : 19tand, 5.7m, sleep</v>
      </c>
      <c r="K21" s="968">
        <v>5</v>
      </c>
      <c r="L21" s="762">
        <v>8</v>
      </c>
      <c r="M21" s="763">
        <v>0.8</v>
      </c>
      <c r="N21" s="402">
        <f>IF(COUNT(K21:M21)=3,10000/((K21*(L21*1000))*M21),0)</f>
        <v>0.3125</v>
      </c>
      <c r="O21" s="403">
        <f>K21*L21*M21/10</f>
        <v>3.2</v>
      </c>
      <c r="P21" s="915">
        <f t="shared" si="30"/>
        <v>178.6953125</v>
      </c>
      <c r="Q21" s="915">
        <f t="shared" si="31"/>
        <v>242.5625</v>
      </c>
      <c r="R21" s="915">
        <f t="shared" si="32"/>
        <v>289.21875</v>
      </c>
      <c r="S21" s="923">
        <f t="shared" si="33"/>
        <v>335.875</v>
      </c>
      <c r="T21" s="917">
        <f t="shared" si="34"/>
        <v>6.64453125</v>
      </c>
      <c r="U21" s="919">
        <f t="shared" si="35"/>
        <v>81.727734375000011</v>
      </c>
      <c r="V21" s="923">
        <f t="shared" si="36"/>
        <v>417.60273437500001</v>
      </c>
      <c r="X21" s="404">
        <f>BB21</f>
        <v>450.07875000000001</v>
      </c>
      <c r="Y21" s="405">
        <f>BF21</f>
        <v>339.1</v>
      </c>
      <c r="Z21" s="406">
        <f>BG21</f>
        <v>789.17875000000004</v>
      </c>
      <c r="AA21" s="404">
        <f>BL21</f>
        <v>132.80000000000001</v>
      </c>
      <c r="AB21" s="405">
        <f>BP21</f>
        <v>414.35</v>
      </c>
      <c r="AC21" s="407">
        <f>BQ21</f>
        <v>547.15000000000009</v>
      </c>
      <c r="AD21" s="408">
        <f>AE21-AY21</f>
        <v>1074.8000000000002</v>
      </c>
      <c r="AE21" s="409">
        <f t="shared" si="8"/>
        <v>1336.3287500000001</v>
      </c>
      <c r="AF21" s="410">
        <f t="shared" si="9"/>
        <v>0.3125</v>
      </c>
      <c r="AG21" s="411">
        <f>AH21-AM21</f>
        <v>335.875</v>
      </c>
      <c r="AH21" s="412">
        <f>AU21</f>
        <v>417.60273437500001</v>
      </c>
      <c r="AJ21" s="730">
        <v>1</v>
      </c>
      <c r="AL21" s="413">
        <f t="shared" si="12"/>
        <v>6.64453125</v>
      </c>
      <c r="AM21" s="414">
        <f>AL21*$E$7</f>
        <v>81.727734375000011</v>
      </c>
      <c r="AN21" s="414">
        <f t="shared" si="14"/>
        <v>100.421875</v>
      </c>
      <c r="AO21" s="414">
        <f t="shared" si="15"/>
        <v>0</v>
      </c>
      <c r="AP21" s="415">
        <f>SUM(AM21:AO21)</f>
        <v>182.14960937500001</v>
      </c>
      <c r="AQ21" s="414">
        <f t="shared" si="17"/>
        <v>127.734375</v>
      </c>
      <c r="AR21" s="414">
        <f t="shared" si="18"/>
        <v>14.406250000000004</v>
      </c>
      <c r="AS21" s="414">
        <f t="shared" si="19"/>
        <v>93.3125</v>
      </c>
      <c r="AT21" s="415">
        <f>SUM(AQ21:AS21)</f>
        <v>235.453125</v>
      </c>
      <c r="AU21" s="416">
        <f>AP21+AT21</f>
        <v>417.60273437500001</v>
      </c>
      <c r="AV21" s="417"/>
      <c r="AW21" s="418">
        <f t="shared" si="22"/>
        <v>63</v>
      </c>
      <c r="AX21" s="413">
        <f>IF(D21="",0,E21*VLOOKUP(H21,Trekkers!$E$141:$L$143,COLUMNS(Trekkers!$E$141:$L$141),FALSE)*AJ21)</f>
        <v>21.262499999999999</v>
      </c>
      <c r="AY21" s="414">
        <f>AX21*$E$7</f>
        <v>261.52875</v>
      </c>
      <c r="AZ21" s="414">
        <f>IF(D21="",0,VLOOKUP($D21,Trekkers!$A:$V,COLUMN(Trekkers!$K$5),FALSE))</f>
        <v>188.55</v>
      </c>
      <c r="BA21" s="414">
        <f>0</f>
        <v>0</v>
      </c>
      <c r="BB21" s="415">
        <f>SUM(AY21:BA21)</f>
        <v>450.07875000000001</v>
      </c>
      <c r="BC21" s="414">
        <f>IF($D21="",0,VLOOKUP($D21,Trekkers!$A:$V,COLUMN(Trekkers!$G$5),FALSE)*$E$9/100)</f>
        <v>169.7</v>
      </c>
      <c r="BD21" s="414">
        <f>IF($D21="",0,VLOOKUP($D21,Trekkers!$A:$V,COLUMN(Trekkers!$H$5),FALSE))</f>
        <v>24.200000000000003</v>
      </c>
      <c r="BE21" s="414">
        <f>IF($D21="",0,VLOOKUP($D21,Trekkers!$A:$V,COLUMN(Trekkers!$I$5),FALSE)/$G$8*$E$8)</f>
        <v>145.20000000000002</v>
      </c>
      <c r="BF21" s="415">
        <f>SUM(BC21:BE21)</f>
        <v>339.1</v>
      </c>
      <c r="BG21" s="416">
        <f>BB21+BF21</f>
        <v>789.17875000000004</v>
      </c>
      <c r="BH21" s="417"/>
      <c r="BI21" s="418">
        <f t="shared" si="0"/>
        <v>85</v>
      </c>
      <c r="BJ21" s="414">
        <f>IF($I21=0,0,VLOOKUP($I21,'Implemente &amp; Waens'!$A:$Z,COLUMN('Implemente &amp; Waens'!M$5),FALSE))</f>
        <v>132.80000000000001</v>
      </c>
      <c r="BK21" s="414">
        <f>IF($I21=0,0,VLOOKUP($I21,'Implemente &amp; Waens'!$A:$Z,COLUMN('Implemente &amp; Waens'!N$5),FALSE))</f>
        <v>0</v>
      </c>
      <c r="BL21" s="415">
        <f>SUM(BJ21:BK21)</f>
        <v>132.80000000000001</v>
      </c>
      <c r="BM21" s="414">
        <f>IF($I21=0,0,VLOOKUP($I21,'Implemente &amp; Waens'!$A:$Z,COLUMN('Implemente &amp; Waens'!I$5),FALSE)*$E$9/100)</f>
        <v>239.05</v>
      </c>
      <c r="BN21" s="414">
        <f>IF($I21=0,0,VLOOKUP($I21,'Implemente &amp; Waens'!$A:$Z,COLUMN('Implemente &amp; Waens'!J$5),FALSE))</f>
        <v>21.900000000000002</v>
      </c>
      <c r="BO21" s="414">
        <f>IF($I21=0,0,VLOOKUP($I21,'Implemente &amp; Waens'!$A:$Z,COLUMN('Implemente &amp; Waens'!K$5),FALSE)/$G$8*$E$8)</f>
        <v>153.4</v>
      </c>
      <c r="BP21" s="415">
        <f>SUM(BM21:BO21)</f>
        <v>414.35</v>
      </c>
      <c r="BQ21" s="416">
        <f>SUM(BL21,BP21)</f>
        <v>547.15000000000009</v>
      </c>
    </row>
    <row r="22" spans="2:69">
      <c r="B22" s="397"/>
      <c r="C22" s="731" t="s">
        <v>1248</v>
      </c>
      <c r="D22" s="398">
        <f>Trekkers!A54</f>
        <v>54</v>
      </c>
      <c r="E22" s="399">
        <f>IF($D22="",0,VLOOKUP($D22,Trekkers!$A:$U,COLUMN(Trekkers!C$5),FALSE))</f>
        <v>90</v>
      </c>
      <c r="F22" s="399">
        <f>IF($D22="",0,VLOOKUP($D22,Trekkers!$A:$U,COLUMN(Trekkers!D$5),FALSE))</f>
        <v>120.69198806355254</v>
      </c>
      <c r="G22" s="399" t="str">
        <f>IF($D22="",0,VLOOKUP($D22,Trekkers!$A:$U,COLUMN(Trekkers!E$5),FALSE))</f>
        <v>4W</v>
      </c>
      <c r="H22" s="815" t="s">
        <v>133</v>
      </c>
      <c r="I22" s="398">
        <f>'Implemente &amp; Waens'!A$187</f>
        <v>187</v>
      </c>
      <c r="J22" s="400" t="str">
        <f>IF($I22=0,0,VLOOKUP($I22,'Implemente &amp; Waens'!$A:$Z,COLUMN('Implemente &amp; Waens'!C$5),FALSE))</f>
        <v>Kontra-Snyeg : 42skottel, 4.27m, sleep</v>
      </c>
      <c r="K22" s="969">
        <v>4.2699999999999996</v>
      </c>
      <c r="L22" s="875">
        <v>8</v>
      </c>
      <c r="M22" s="876">
        <v>0.8</v>
      </c>
      <c r="N22" s="402">
        <f t="shared" ref="N22" si="40">IF(COUNT(K22:M22)=3,10000/((K22*(L22*1000))*M22),0)</f>
        <v>0.36592505854800939</v>
      </c>
      <c r="O22" s="403">
        <f t="shared" ref="O22" si="41">K22*L22*M22/10</f>
        <v>2.7328000000000001</v>
      </c>
      <c r="P22" s="915">
        <f t="shared" si="30"/>
        <v>95.790032201405126</v>
      </c>
      <c r="Q22" s="915">
        <f t="shared" si="31"/>
        <v>126.93940281030443</v>
      </c>
      <c r="R22" s="915">
        <f t="shared" si="32"/>
        <v>150.67879098360655</v>
      </c>
      <c r="S22" s="923">
        <f t="shared" si="33"/>
        <v>174.41817915690865</v>
      </c>
      <c r="T22" s="917">
        <f t="shared" si="34"/>
        <v>5.1869877049180335</v>
      </c>
      <c r="U22" s="919">
        <f t="shared" si="35"/>
        <v>63.799948770491817</v>
      </c>
      <c r="V22" s="923">
        <f t="shared" si="36"/>
        <v>238.21812792740047</v>
      </c>
      <c r="X22" s="404">
        <f t="shared" ref="X22" si="42">BB22</f>
        <v>281.00250000000005</v>
      </c>
      <c r="Y22" s="405">
        <f t="shared" ref="Y22:Z22" si="43">BF22</f>
        <v>191.8</v>
      </c>
      <c r="Z22" s="406">
        <f t="shared" si="43"/>
        <v>472.80250000000007</v>
      </c>
      <c r="AA22" s="404">
        <f t="shared" ref="AA22" si="44">BL22</f>
        <v>49.5</v>
      </c>
      <c r="AB22" s="405">
        <f t="shared" ref="AB22:AC22" si="45">BP22</f>
        <v>128.69999999999999</v>
      </c>
      <c r="AC22" s="407">
        <f t="shared" si="45"/>
        <v>178.2</v>
      </c>
      <c r="AD22" s="408">
        <f t="shared" ref="AD22" si="46">AE22-AY22</f>
        <v>476.65000000000003</v>
      </c>
      <c r="AE22" s="409">
        <f t="shared" si="8"/>
        <v>651.00250000000005</v>
      </c>
      <c r="AF22" s="410">
        <f t="shared" si="9"/>
        <v>0.36592505854800939</v>
      </c>
      <c r="AG22" s="411">
        <f t="shared" ref="AG22" si="47">AH22-AM22</f>
        <v>174.41817915690865</v>
      </c>
      <c r="AH22" s="412">
        <f t="shared" ref="AH22" si="48">AU22</f>
        <v>238.21812792740047</v>
      </c>
      <c r="AJ22" s="730">
        <v>1</v>
      </c>
      <c r="AL22" s="413">
        <f t="shared" si="12"/>
        <v>5.1869877049180335</v>
      </c>
      <c r="AM22" s="414">
        <f t="shared" ref="AM22" si="49">AL22*$E$7</f>
        <v>63.799948770491817</v>
      </c>
      <c r="AN22" s="414">
        <f t="shared" si="14"/>
        <v>57.139197892271667</v>
      </c>
      <c r="AO22" s="414">
        <f t="shared" si="15"/>
        <v>0</v>
      </c>
      <c r="AP22" s="415">
        <f t="shared" ref="AP22" si="50">SUM(AM22:AO22)</f>
        <v>120.93914666276348</v>
      </c>
      <c r="AQ22" s="414">
        <f t="shared" si="17"/>
        <v>62.2987412177986</v>
      </c>
      <c r="AR22" s="414">
        <f t="shared" si="18"/>
        <v>7.5014637002341926</v>
      </c>
      <c r="AS22" s="414">
        <f t="shared" si="19"/>
        <v>47.478776346604221</v>
      </c>
      <c r="AT22" s="415">
        <f t="shared" ref="AT22" si="51">SUM(AQ22:AS22)</f>
        <v>117.27898126463701</v>
      </c>
      <c r="AU22" s="416">
        <f t="shared" ref="AU22" si="52">AP22+AT22</f>
        <v>238.21812792740047</v>
      </c>
      <c r="AV22" s="417"/>
      <c r="AW22" s="418">
        <f t="shared" si="22"/>
        <v>54</v>
      </c>
      <c r="AX22" s="413">
        <f>IF(D22="",0,E22*VLOOKUP(H22,Trekkers!$E$141:$L$143,COLUMNS(Trekkers!$E$141:$L$141),FALSE)*AJ22)</f>
        <v>14.175000000000001</v>
      </c>
      <c r="AY22" s="414">
        <f t="shared" ref="AY22" si="53">AX22*$E$7</f>
        <v>174.35250000000002</v>
      </c>
      <c r="AZ22" s="414">
        <f>IF(D22="",0,VLOOKUP($D22,Trekkers!$A:$V,COLUMN(Trekkers!$K$5),FALSE))</f>
        <v>106.65</v>
      </c>
      <c r="BA22" s="414">
        <f>0</f>
        <v>0</v>
      </c>
      <c r="BB22" s="415">
        <f t="shared" ref="BB22" si="54">SUM(AY22:BA22)</f>
        <v>281.00250000000005</v>
      </c>
      <c r="BC22" s="414">
        <f>IF($D22="",0,VLOOKUP($D22,Trekkers!$A:$V,COLUMN(Trekkers!$G$5),FALSE)*$E$9/100)</f>
        <v>96</v>
      </c>
      <c r="BD22" s="414">
        <f>IF($D22="",0,VLOOKUP($D22,Trekkers!$A:$V,COLUMN(Trekkers!$H$5),FALSE))</f>
        <v>13.700000000000001</v>
      </c>
      <c r="BE22" s="414">
        <f>IF($D22="",0,VLOOKUP($D22,Trekkers!$A:$V,COLUMN(Trekkers!$I$5),FALSE)/$G$8*$E$8)</f>
        <v>82.100000000000009</v>
      </c>
      <c r="BF22" s="415">
        <f t="shared" ref="BF22" si="55">SUM(BC22:BE22)</f>
        <v>191.8</v>
      </c>
      <c r="BG22" s="416">
        <f t="shared" ref="BG22" si="56">BB22+BF22</f>
        <v>472.80250000000007</v>
      </c>
      <c r="BH22" s="417"/>
      <c r="BI22" s="418">
        <f t="shared" si="0"/>
        <v>187</v>
      </c>
      <c r="BJ22" s="414">
        <f>IF($I22=0,0,VLOOKUP($I22,'Implemente &amp; Waens'!$A:$Z,COLUMN('Implemente &amp; Waens'!M$5),FALSE))</f>
        <v>49.5</v>
      </c>
      <c r="BK22" s="414">
        <f>IF($I22=0,0,VLOOKUP($I22,'Implemente &amp; Waens'!$A:$Z,COLUMN('Implemente &amp; Waens'!N$5),FALSE))</f>
        <v>0</v>
      </c>
      <c r="BL22" s="415">
        <f t="shared" ref="BL22" si="57">SUM(BJ22:BK22)</f>
        <v>49.5</v>
      </c>
      <c r="BM22" s="414">
        <f>IF($I22=0,0,VLOOKUP($I22,'Implemente &amp; Waens'!$A:$Z,COLUMN('Implemente &amp; Waens'!I$5),FALSE)*$E$9/100)</f>
        <v>74.25</v>
      </c>
      <c r="BN22" s="414">
        <f>IF($I22=0,0,VLOOKUP($I22,'Implemente &amp; Waens'!$A:$Z,COLUMN('Implemente &amp; Waens'!J$5),FALSE))</f>
        <v>6.8000000000000007</v>
      </c>
      <c r="BO22" s="414">
        <f>IF($I22=0,0,VLOOKUP($I22,'Implemente &amp; Waens'!$A:$Z,COLUMN('Implemente &amp; Waens'!K$5),FALSE)/$G$8*$E$8)</f>
        <v>47.650000000000006</v>
      </c>
      <c r="BP22" s="415">
        <f t="shared" ref="BP22" si="58">SUM(BM22:BO22)</f>
        <v>128.69999999999999</v>
      </c>
      <c r="BQ22" s="416">
        <f t="shared" ref="BQ22" si="59">SUM(BL22,BP22)</f>
        <v>178.2</v>
      </c>
    </row>
    <row r="23" spans="2:69">
      <c r="B23" s="397"/>
      <c r="C23" s="731" t="s">
        <v>1249</v>
      </c>
      <c r="D23" s="398">
        <f>Trekkers!A18</f>
        <v>18</v>
      </c>
      <c r="E23" s="399">
        <f>IF($D23="",0,VLOOKUP($D23,Trekkers!$A:$U,COLUMN(Trekkers!C$5),FALSE))</f>
        <v>45</v>
      </c>
      <c r="F23" s="399">
        <f>IF($D23="",0,VLOOKUP($D23,Trekkers!$A:$U,COLUMN(Trekkers!D$5),FALSE))</f>
        <v>60.345994031776272</v>
      </c>
      <c r="G23" s="399" t="str">
        <f>IF($D23="",0,VLOOKUP($D23,Trekkers!$A:$U,COLUMN(Trekkers!E$5),FALSE))</f>
        <v>2W</v>
      </c>
      <c r="H23" s="815" t="s">
        <v>133</v>
      </c>
      <c r="I23" s="398">
        <f>'Implemente &amp; Waens'!A$198</f>
        <v>198</v>
      </c>
      <c r="J23" s="400" t="str">
        <f>IF($I23=0,0,VLOOKUP($I23,'Implemente &amp; Waens'!$A:$Z,COLUMN('Implemente &amp; Waens'!C$5),FALSE))</f>
        <v>Vinger Eggie : 1.83m</v>
      </c>
      <c r="K23" s="968">
        <v>8</v>
      </c>
      <c r="L23" s="762">
        <v>7</v>
      </c>
      <c r="M23" s="763">
        <v>0.8</v>
      </c>
      <c r="N23" s="402">
        <f>IF(COUNT(K23:M23)=3,10000/((K23*(L23*1000))*M23),0)</f>
        <v>0.22321428571428573</v>
      </c>
      <c r="O23" s="403">
        <f>K23*L23*M23/10</f>
        <v>4.4800000000000004</v>
      </c>
      <c r="P23" s="915">
        <f t="shared" si="30"/>
        <v>14.481026785714286</v>
      </c>
      <c r="Q23" s="915">
        <f t="shared" si="31"/>
        <v>18.995535714285715</v>
      </c>
      <c r="R23" s="915">
        <f t="shared" si="32"/>
        <v>22.65625</v>
      </c>
      <c r="S23" s="923">
        <f t="shared" si="33"/>
        <v>26.316964285714288</v>
      </c>
      <c r="T23" s="917">
        <f t="shared" si="34"/>
        <v>1.5820312500000002</v>
      </c>
      <c r="U23" s="919">
        <f t="shared" si="35"/>
        <v>19.458984375000004</v>
      </c>
      <c r="V23" s="923">
        <f t="shared" si="36"/>
        <v>45.775948660714292</v>
      </c>
      <c r="X23" s="404">
        <f>BB23</f>
        <v>122.77625</v>
      </c>
      <c r="Y23" s="405">
        <f>BF23</f>
        <v>64</v>
      </c>
      <c r="Z23" s="406">
        <f>BG23</f>
        <v>186.77625</v>
      </c>
      <c r="AA23" s="404">
        <f>BL23</f>
        <v>3.75</v>
      </c>
      <c r="AB23" s="405">
        <f>BP23</f>
        <v>14.55</v>
      </c>
      <c r="AC23" s="407">
        <f>BQ23</f>
        <v>18.3</v>
      </c>
      <c r="AD23" s="408">
        <f t="shared" si="38"/>
        <v>117.9</v>
      </c>
      <c r="AE23" s="409">
        <f t="shared" si="8"/>
        <v>205.07625000000002</v>
      </c>
      <c r="AF23" s="410">
        <f t="shared" si="9"/>
        <v>0.22321428571428573</v>
      </c>
      <c r="AG23" s="411">
        <f t="shared" si="39"/>
        <v>26.316964285714288</v>
      </c>
      <c r="AH23" s="412">
        <f>AU23</f>
        <v>45.775948660714292</v>
      </c>
      <c r="AJ23" s="730">
        <v>1</v>
      </c>
      <c r="AL23" s="413">
        <f t="shared" si="12"/>
        <v>1.5820312500000002</v>
      </c>
      <c r="AM23" s="414">
        <f>AL23*$E$7</f>
        <v>19.458984375000004</v>
      </c>
      <c r="AN23" s="414">
        <f t="shared" si="14"/>
        <v>8.7834821428571441</v>
      </c>
      <c r="AO23" s="414">
        <f t="shared" si="15"/>
        <v>0</v>
      </c>
      <c r="AP23" s="415">
        <f>SUM(AM23:AO23)</f>
        <v>28.242466517857146</v>
      </c>
      <c r="AQ23" s="414">
        <f t="shared" si="17"/>
        <v>9.0290178571428577</v>
      </c>
      <c r="AR23" s="414">
        <f t="shared" si="18"/>
        <v>1.1830357142857144</v>
      </c>
      <c r="AS23" s="414">
        <f t="shared" si="19"/>
        <v>7.321428571428573</v>
      </c>
      <c r="AT23" s="415">
        <f>SUM(AQ23:AS23)</f>
        <v>17.533482142857146</v>
      </c>
      <c r="AU23" s="416">
        <f>AP23+AT23</f>
        <v>45.775948660714292</v>
      </c>
      <c r="AV23" s="417"/>
      <c r="AW23" s="418">
        <f t="shared" si="22"/>
        <v>18</v>
      </c>
      <c r="AX23" s="413">
        <f>IF(D23="",0,E23*VLOOKUP(H23,Trekkers!$E$141:$L$143,COLUMNS(Trekkers!$E$141:$L$141),FALSE)*AJ23)</f>
        <v>7.0875000000000004</v>
      </c>
      <c r="AY23" s="414">
        <f>AX23*$E$7</f>
        <v>87.17625000000001</v>
      </c>
      <c r="AZ23" s="414">
        <f>IF(D23="",0,VLOOKUP($D23,Trekkers!$A:$V,COLUMN(Trekkers!$K$5),FALSE))</f>
        <v>35.6</v>
      </c>
      <c r="BA23" s="414">
        <f>0</f>
        <v>0</v>
      </c>
      <c r="BB23" s="415">
        <f>SUM(AY23:BA23)</f>
        <v>122.77625</v>
      </c>
      <c r="BC23" s="414">
        <f>IF($D23="",0,VLOOKUP($D23,Trekkers!$A:$V,COLUMN(Trekkers!$G$5),FALSE)*$E$9/100)</f>
        <v>32.050000000000004</v>
      </c>
      <c r="BD23" s="414">
        <f>IF($D23="",0,VLOOKUP($D23,Trekkers!$A:$V,COLUMN(Trekkers!$H$5),FALSE))</f>
        <v>4.55</v>
      </c>
      <c r="BE23" s="414">
        <f>IF($D23="",0,VLOOKUP($D23,Trekkers!$A:$V,COLUMN(Trekkers!$I$5),FALSE)/$G$8*$E$8)</f>
        <v>27.400000000000002</v>
      </c>
      <c r="BF23" s="415">
        <f>SUM(BC23:BE23)</f>
        <v>64</v>
      </c>
      <c r="BG23" s="416">
        <f>BB23+BF23</f>
        <v>186.77625</v>
      </c>
      <c r="BH23" s="417"/>
      <c r="BI23" s="418">
        <f t="shared" si="0"/>
        <v>198</v>
      </c>
      <c r="BJ23" s="414">
        <f>IF($I23=0,0,VLOOKUP($I23,'Implemente &amp; Waens'!$A:$Z,COLUMN('Implemente &amp; Waens'!M$5),FALSE))</f>
        <v>3.75</v>
      </c>
      <c r="BK23" s="414">
        <f>IF($I23=0,0,VLOOKUP($I23,'Implemente &amp; Waens'!$A:$Z,COLUMN('Implemente &amp; Waens'!N$5),FALSE))</f>
        <v>0</v>
      </c>
      <c r="BL23" s="415">
        <f>SUM(BJ23:BK23)</f>
        <v>3.75</v>
      </c>
      <c r="BM23" s="414">
        <f>IF($I23=0,0,VLOOKUP($I23,'Implemente &amp; Waens'!$A:$Z,COLUMN('Implemente &amp; Waens'!I$5),FALSE)*$E$9/100)</f>
        <v>8.4</v>
      </c>
      <c r="BN23" s="414">
        <f>IF($I23=0,0,VLOOKUP($I23,'Implemente &amp; Waens'!$A:$Z,COLUMN('Implemente &amp; Waens'!J$5),FALSE))</f>
        <v>0.75</v>
      </c>
      <c r="BO23" s="414">
        <f>IF($I23=0,0,VLOOKUP($I23,'Implemente &amp; Waens'!$A:$Z,COLUMN('Implemente &amp; Waens'!K$5),FALSE)/$G$8*$E$8)</f>
        <v>5.4</v>
      </c>
      <c r="BP23" s="415">
        <f>SUM(BM23:BO23)</f>
        <v>14.55</v>
      </c>
      <c r="BQ23" s="416">
        <f>SUM(BL23,BP23)</f>
        <v>18.3</v>
      </c>
    </row>
    <row r="24" spans="2:69">
      <c r="B24" s="397"/>
      <c r="C24" s="731" t="s">
        <v>1250</v>
      </c>
      <c r="D24" s="398">
        <f>Trekkers!A53</f>
        <v>53</v>
      </c>
      <c r="E24" s="399">
        <f>IF($D24="",0,VLOOKUP($D24,Trekkers!$A:$U,COLUMN(Trekkers!C$5),FALSE))</f>
        <v>85</v>
      </c>
      <c r="F24" s="399">
        <f>IF($D24="",0,VLOOKUP($D24,Trekkers!$A:$U,COLUMN(Trekkers!D$5),FALSE))</f>
        <v>113.9868776155774</v>
      </c>
      <c r="G24" s="399" t="str">
        <f>IF($D24="",0,VLOOKUP($D24,Trekkers!$A:$U,COLUMN(Trekkers!E$5),FALSE))</f>
        <v>4W</v>
      </c>
      <c r="H24" s="815" t="s">
        <v>133</v>
      </c>
      <c r="I24" s="398">
        <f>'Implemente &amp; Waens'!A$211</f>
        <v>211</v>
      </c>
      <c r="J24" s="400" t="str">
        <f>IF($I24=0,0,VLOOKUP($I24,'Implemente &amp; Waens'!$A:$Z,COLUMN('Implemente &amp; Waens'!C$5),FALSE))</f>
        <v>Saadbedroller : 9.0m, Medium diens</v>
      </c>
      <c r="K24" s="968">
        <v>9</v>
      </c>
      <c r="L24" s="762">
        <v>7</v>
      </c>
      <c r="M24" s="763">
        <v>0.8</v>
      </c>
      <c r="N24" s="402">
        <f t="shared" si="1"/>
        <v>0.1984126984126984</v>
      </c>
      <c r="O24" s="403">
        <f t="shared" si="37"/>
        <v>5.0400000000000009</v>
      </c>
      <c r="P24" s="915">
        <f t="shared" si="30"/>
        <v>44.811507936507923</v>
      </c>
      <c r="Q24" s="915">
        <f t="shared" si="31"/>
        <v>58.323412698412682</v>
      </c>
      <c r="R24" s="915">
        <f t="shared" si="32"/>
        <v>68.874007936507923</v>
      </c>
      <c r="S24" s="923">
        <f t="shared" si="33"/>
        <v>79.424603174603163</v>
      </c>
      <c r="T24" s="917">
        <f t="shared" si="34"/>
        <v>2.6562499999999996</v>
      </c>
      <c r="U24" s="919">
        <f t="shared" si="35"/>
        <v>32.671874999999993</v>
      </c>
      <c r="V24" s="923">
        <f t="shared" si="36"/>
        <v>112.09647817460316</v>
      </c>
      <c r="X24" s="404">
        <f t="shared" si="3"/>
        <v>263.16624999999999</v>
      </c>
      <c r="Y24" s="405">
        <f t="shared" si="4"/>
        <v>177.15000000000003</v>
      </c>
      <c r="Z24" s="406">
        <f t="shared" si="4"/>
        <v>440.31625000000003</v>
      </c>
      <c r="AA24" s="404">
        <f t="shared" si="5"/>
        <v>42.25</v>
      </c>
      <c r="AB24" s="405">
        <f t="shared" si="6"/>
        <v>82.4</v>
      </c>
      <c r="AC24" s="407">
        <f t="shared" si="6"/>
        <v>124.65</v>
      </c>
      <c r="AD24" s="408">
        <f t="shared" si="38"/>
        <v>400.30000000000007</v>
      </c>
      <c r="AE24" s="409">
        <f t="shared" si="8"/>
        <v>564.96625000000006</v>
      </c>
      <c r="AF24" s="410">
        <f t="shared" si="9"/>
        <v>0.1984126984126984</v>
      </c>
      <c r="AG24" s="411">
        <f t="shared" si="39"/>
        <v>79.424603174603163</v>
      </c>
      <c r="AH24" s="412">
        <f t="shared" si="11"/>
        <v>112.09647817460316</v>
      </c>
      <c r="AJ24" s="730">
        <v>1</v>
      </c>
      <c r="AL24" s="413">
        <f t="shared" si="12"/>
        <v>2.6562499999999996</v>
      </c>
      <c r="AM24" s="414">
        <f t="shared" si="13"/>
        <v>32.671874999999993</v>
      </c>
      <c r="AN24" s="414">
        <f t="shared" si="14"/>
        <v>27.926587301587301</v>
      </c>
      <c r="AO24" s="414">
        <f t="shared" si="15"/>
        <v>0</v>
      </c>
      <c r="AP24" s="415">
        <f t="shared" si="16"/>
        <v>60.59846230158729</v>
      </c>
      <c r="AQ24" s="414">
        <f t="shared" si="17"/>
        <v>27.023809523809518</v>
      </c>
      <c r="AR24" s="414">
        <f t="shared" si="18"/>
        <v>3.373015873015873</v>
      </c>
      <c r="AS24" s="414">
        <f t="shared" si="19"/>
        <v>21.101190476190478</v>
      </c>
      <c r="AT24" s="415">
        <f t="shared" si="20"/>
        <v>51.498015873015873</v>
      </c>
      <c r="AU24" s="416">
        <f t="shared" si="21"/>
        <v>112.09647817460316</v>
      </c>
      <c r="AV24" s="417"/>
      <c r="AW24" s="418">
        <f t="shared" si="22"/>
        <v>53</v>
      </c>
      <c r="AX24" s="413">
        <f>IF(D24="",0,E24*VLOOKUP(H24,Trekkers!$E$141:$L$143,COLUMNS(Trekkers!$E$141:$L$141),FALSE)*AJ24)</f>
        <v>13.387499999999999</v>
      </c>
      <c r="AY24" s="414">
        <f t="shared" si="23"/>
        <v>164.66624999999999</v>
      </c>
      <c r="AZ24" s="414">
        <f>IF(D24="",0,VLOOKUP($D24,Trekkers!$A:$V,COLUMN(Trekkers!$K$5),FALSE))</f>
        <v>98.5</v>
      </c>
      <c r="BA24" s="414">
        <f>0</f>
        <v>0</v>
      </c>
      <c r="BB24" s="415">
        <f t="shared" si="24"/>
        <v>263.16624999999999</v>
      </c>
      <c r="BC24" s="414">
        <f>IF($D24="",0,VLOOKUP($D24,Trekkers!$A:$V,COLUMN(Trekkers!$G$5),FALSE)*$E$9/100)</f>
        <v>88.65</v>
      </c>
      <c r="BD24" s="414">
        <f>IF($D24="",0,VLOOKUP($D24,Trekkers!$A:$V,COLUMN(Trekkers!$H$5),FALSE))</f>
        <v>12.65</v>
      </c>
      <c r="BE24" s="414">
        <f>IF($D24="",0,VLOOKUP($D24,Trekkers!$A:$V,COLUMN(Trekkers!$I$5),FALSE)/$G$8*$E$8)</f>
        <v>75.850000000000009</v>
      </c>
      <c r="BF24" s="415">
        <f t="shared" si="25"/>
        <v>177.15000000000003</v>
      </c>
      <c r="BG24" s="416">
        <f t="shared" si="26"/>
        <v>440.31625000000003</v>
      </c>
      <c r="BH24" s="417"/>
      <c r="BI24" s="418">
        <f t="shared" si="0"/>
        <v>211</v>
      </c>
      <c r="BJ24" s="414">
        <f>IF($I24=0,0,VLOOKUP($I24,'Implemente &amp; Waens'!$A:$Z,COLUMN('Implemente &amp; Waens'!M$5),FALSE))</f>
        <v>42.25</v>
      </c>
      <c r="BK24" s="414">
        <f>IF($I24=0,0,VLOOKUP($I24,'Implemente &amp; Waens'!$A:$Z,COLUMN('Implemente &amp; Waens'!N$5),FALSE))</f>
        <v>0</v>
      </c>
      <c r="BL24" s="415">
        <f t="shared" si="27"/>
        <v>42.25</v>
      </c>
      <c r="BM24" s="414">
        <f>IF($I24=0,0,VLOOKUP($I24,'Implemente &amp; Waens'!$A:$Z,COLUMN('Implemente &amp; Waens'!I$5),FALSE)*$E$9/100)</f>
        <v>47.55</v>
      </c>
      <c r="BN24" s="414">
        <f>IF($I24=0,0,VLOOKUP($I24,'Implemente &amp; Waens'!$A:$Z,COLUMN('Implemente &amp; Waens'!J$5),FALSE))</f>
        <v>4.3500000000000005</v>
      </c>
      <c r="BO24" s="414">
        <f>IF($I24=0,0,VLOOKUP($I24,'Implemente &amp; Waens'!$A:$Z,COLUMN('Implemente &amp; Waens'!K$5),FALSE)/$G$8*$E$8)</f>
        <v>30.5</v>
      </c>
      <c r="BP24" s="415">
        <f t="shared" si="28"/>
        <v>82.4</v>
      </c>
      <c r="BQ24" s="416">
        <f t="shared" si="29"/>
        <v>124.65</v>
      </c>
    </row>
    <row r="25" spans="2:69">
      <c r="B25" s="397"/>
      <c r="C25" s="731" t="s">
        <v>1251</v>
      </c>
      <c r="D25" s="398">
        <f>Trekkers!A55</f>
        <v>55</v>
      </c>
      <c r="E25" s="399">
        <f>IF($D25="",0,VLOOKUP($D25,Trekkers!$A:$U,COLUMN(Trekkers!C$5),FALSE))</f>
        <v>95</v>
      </c>
      <c r="F25" s="399">
        <f>IF($D25="",0,VLOOKUP($D25,Trekkers!$A:$U,COLUMN(Trekkers!D$5),FALSE))</f>
        <v>127.39709851152769</v>
      </c>
      <c r="G25" s="399" t="str">
        <f>IF($D25="",0,VLOOKUP($D25,Trekkers!$A:$U,COLUMN(Trekkers!E$5),FALSE))</f>
        <v>4W</v>
      </c>
      <c r="H25" s="815" t="s">
        <v>133</v>
      </c>
      <c r="I25" s="398"/>
      <c r="J25" s="400">
        <f>IF($I25=0,0,VLOOKUP($I25,'Implemente &amp; Waens'!$A:$Z,COLUMN('Implemente &amp; Waens'!C$5),FALSE))</f>
        <v>0</v>
      </c>
      <c r="K25" s="969">
        <v>9</v>
      </c>
      <c r="L25" s="875">
        <v>12</v>
      </c>
      <c r="M25" s="876">
        <v>0.75</v>
      </c>
      <c r="N25" s="402">
        <f t="shared" si="1"/>
        <v>0.12345679012345678</v>
      </c>
      <c r="O25" s="403">
        <f t="shared" si="37"/>
        <v>8.1</v>
      </c>
      <c r="P25" s="915">
        <f t="shared" si="30"/>
        <v>22.425925925925927</v>
      </c>
      <c r="Q25" s="915">
        <f t="shared" si="31"/>
        <v>28.820987654320987</v>
      </c>
      <c r="R25" s="915">
        <f t="shared" si="32"/>
        <v>34.293209876543209</v>
      </c>
      <c r="S25" s="923">
        <f t="shared" si="33"/>
        <v>39.76543209876543</v>
      </c>
      <c r="T25" s="917">
        <f t="shared" si="34"/>
        <v>1.8472222222222221</v>
      </c>
      <c r="U25" s="919">
        <f t="shared" si="35"/>
        <v>22.720833333333331</v>
      </c>
      <c r="V25" s="923">
        <f t="shared" si="36"/>
        <v>62.486265432098762</v>
      </c>
      <c r="X25" s="404">
        <f t="shared" si="3"/>
        <v>299.13875000000002</v>
      </c>
      <c r="Y25" s="405">
        <f t="shared" si="4"/>
        <v>207</v>
      </c>
      <c r="Z25" s="406">
        <f t="shared" si="4"/>
        <v>506.13875000000002</v>
      </c>
      <c r="AA25" s="404">
        <f t="shared" si="5"/>
        <v>0</v>
      </c>
      <c r="AB25" s="405">
        <f t="shared" si="6"/>
        <v>0</v>
      </c>
      <c r="AC25" s="407">
        <f t="shared" si="6"/>
        <v>0</v>
      </c>
      <c r="AD25" s="408">
        <f t="shared" si="38"/>
        <v>322.10000000000002</v>
      </c>
      <c r="AE25" s="409">
        <f t="shared" si="8"/>
        <v>506.13875000000002</v>
      </c>
      <c r="AF25" s="410">
        <f t="shared" si="9"/>
        <v>0.12345679012345678</v>
      </c>
      <c r="AG25" s="411">
        <f t="shared" si="39"/>
        <v>39.76543209876543</v>
      </c>
      <c r="AH25" s="412">
        <f t="shared" si="11"/>
        <v>62.486265432098762</v>
      </c>
      <c r="AJ25" s="730">
        <v>1</v>
      </c>
      <c r="AL25" s="413">
        <f t="shared" si="12"/>
        <v>1.8472222222222221</v>
      </c>
      <c r="AM25" s="414">
        <f t="shared" si="13"/>
        <v>22.720833333333331</v>
      </c>
      <c r="AN25" s="414">
        <f t="shared" si="14"/>
        <v>14.209876543209877</v>
      </c>
      <c r="AO25" s="414">
        <f t="shared" si="15"/>
        <v>0</v>
      </c>
      <c r="AP25" s="415">
        <f t="shared" si="16"/>
        <v>36.930709876543204</v>
      </c>
      <c r="AQ25" s="414">
        <f t="shared" si="17"/>
        <v>12.790123456790122</v>
      </c>
      <c r="AR25" s="414">
        <f t="shared" si="18"/>
        <v>1.8209876543209875</v>
      </c>
      <c r="AS25" s="414">
        <f t="shared" si="19"/>
        <v>10.944444444444445</v>
      </c>
      <c r="AT25" s="415">
        <f t="shared" si="20"/>
        <v>25.555555555555554</v>
      </c>
      <c r="AU25" s="416">
        <f t="shared" si="21"/>
        <v>62.486265432098762</v>
      </c>
      <c r="AV25" s="417"/>
      <c r="AW25" s="418">
        <f t="shared" si="22"/>
        <v>55</v>
      </c>
      <c r="AX25" s="413">
        <f>IF(D25="",0,E25*VLOOKUP(H25,Trekkers!$E$141:$L$143,COLUMNS(Trekkers!$E$141:$L$141),FALSE)*AJ25)</f>
        <v>14.9625</v>
      </c>
      <c r="AY25" s="414">
        <f t="shared" si="23"/>
        <v>184.03875000000002</v>
      </c>
      <c r="AZ25" s="414">
        <f>IF(D25="",0,VLOOKUP($D25,Trekkers!$A:$V,COLUMN(Trekkers!$K$5),FALSE))</f>
        <v>115.10000000000001</v>
      </c>
      <c r="BA25" s="414">
        <f>0</f>
        <v>0</v>
      </c>
      <c r="BB25" s="415">
        <f t="shared" si="24"/>
        <v>299.13875000000002</v>
      </c>
      <c r="BC25" s="414">
        <f>IF($D25="",0,VLOOKUP($D25,Trekkers!$A:$V,COLUMN(Trekkers!$G$5),FALSE)*$E$9/100)</f>
        <v>103.6</v>
      </c>
      <c r="BD25" s="414">
        <f>IF($D25="",0,VLOOKUP($D25,Trekkers!$A:$V,COLUMN(Trekkers!$H$5),FALSE))</f>
        <v>14.75</v>
      </c>
      <c r="BE25" s="414">
        <f>IF($D25="",0,VLOOKUP($D25,Trekkers!$A:$V,COLUMN(Trekkers!$I$5),FALSE)/$G$8*$E$8)</f>
        <v>88.65</v>
      </c>
      <c r="BF25" s="415">
        <f t="shared" si="25"/>
        <v>207</v>
      </c>
      <c r="BG25" s="416">
        <f t="shared" si="26"/>
        <v>506.13875000000002</v>
      </c>
      <c r="BH25" s="417"/>
      <c r="BI25" s="418">
        <f t="shared" si="0"/>
        <v>0</v>
      </c>
      <c r="BJ25" s="414">
        <f>IF($I25=0,0,VLOOKUP($I25,'Implemente &amp; Waens'!$A:$Z,COLUMN('Implemente &amp; Waens'!M$5),FALSE))</f>
        <v>0</v>
      </c>
      <c r="BK25" s="414">
        <f>IF($I25=0,0,VLOOKUP($I25,'Implemente &amp; Waens'!$A:$Z,COLUMN('Implemente &amp; Waens'!N$5),FALSE))</f>
        <v>0</v>
      </c>
      <c r="BL25" s="415">
        <f t="shared" si="27"/>
        <v>0</v>
      </c>
      <c r="BM25" s="414">
        <f>IF($I25=0,0,VLOOKUP($I25,'Implemente &amp; Waens'!$A:$Z,COLUMN('Implemente &amp; Waens'!I$5),FALSE)*$E$9/100)</f>
        <v>0</v>
      </c>
      <c r="BN25" s="414">
        <f>IF($I25=0,0,VLOOKUP($I25,'Implemente &amp; Waens'!$A:$Z,COLUMN('Implemente &amp; Waens'!J$5),FALSE))</f>
        <v>0</v>
      </c>
      <c r="BO25" s="414">
        <f>IF($I25=0,0,VLOOKUP($I25,'Implemente &amp; Waens'!$A:$Z,COLUMN('Implemente &amp; Waens'!K$5),FALSE)/$G$8*$E$8)</f>
        <v>0</v>
      </c>
      <c r="BP25" s="415">
        <f t="shared" si="28"/>
        <v>0</v>
      </c>
      <c r="BQ25" s="416">
        <f t="shared" si="29"/>
        <v>0</v>
      </c>
    </row>
    <row r="26" spans="2:69">
      <c r="B26" s="397"/>
      <c r="C26" s="731" t="s">
        <v>1252</v>
      </c>
      <c r="D26" s="398">
        <f>Trekkers!A55</f>
        <v>55</v>
      </c>
      <c r="E26" s="399">
        <f>IF($D26="",0,VLOOKUP($D26,Trekkers!$A:$U,COLUMN(Trekkers!C$5),FALSE))</f>
        <v>95</v>
      </c>
      <c r="F26" s="399">
        <f>IF($D26="",0,VLOOKUP($D26,Trekkers!$A:$U,COLUMN(Trekkers!D$5),FALSE))</f>
        <v>127.39709851152769</v>
      </c>
      <c r="G26" s="399" t="str">
        <f>IF($D26="",0,VLOOKUP($D26,Trekkers!$A:$U,COLUMN(Trekkers!E$5),FALSE))</f>
        <v>4W</v>
      </c>
      <c r="H26" s="815" t="s">
        <v>91</v>
      </c>
      <c r="I26" s="398">
        <f>'Implemente &amp; Waens'!A$245</f>
        <v>245</v>
      </c>
      <c r="J26" s="400" t="str">
        <f>IF($I26=0,0,VLOOKUP($I26,'Implemente &amp; Waens'!$A:$Z,COLUMN('Implemente &amp; Waens'!C$5),FALSE))</f>
        <v>Strooier : Dubbelskyf, 1500L, 10-36m, 3-punt</v>
      </c>
      <c r="K26" s="968">
        <v>10</v>
      </c>
      <c r="L26" s="762">
        <v>12</v>
      </c>
      <c r="M26" s="763">
        <v>0.7</v>
      </c>
      <c r="N26" s="402">
        <f>IF(COUNT(K26:M26)=3,10000/((K26*(L26*1000))*M26),0)</f>
        <v>0.11904761904761904</v>
      </c>
      <c r="O26" s="403">
        <f>K26*L26*M26/10</f>
        <v>8.4</v>
      </c>
      <c r="P26" s="915">
        <f t="shared" si="30"/>
        <v>41.083333333333314</v>
      </c>
      <c r="Q26" s="915">
        <f t="shared" si="31"/>
        <v>53.821428571428555</v>
      </c>
      <c r="R26" s="915">
        <f t="shared" si="32"/>
        <v>63.315476190476176</v>
      </c>
      <c r="S26" s="923">
        <f t="shared" si="33"/>
        <v>72.809523809523796</v>
      </c>
      <c r="T26" s="917">
        <f t="shared" si="34"/>
        <v>1.583333333333333</v>
      </c>
      <c r="U26" s="919">
        <f t="shared" si="35"/>
        <v>19.474999999999998</v>
      </c>
      <c r="V26" s="923">
        <f t="shared" si="36"/>
        <v>92.28452380952379</v>
      </c>
      <c r="X26" s="404">
        <f>BB26</f>
        <v>278.69</v>
      </c>
      <c r="Y26" s="405">
        <f>BF26</f>
        <v>207</v>
      </c>
      <c r="Z26" s="406">
        <f>BG26</f>
        <v>485.69</v>
      </c>
      <c r="AA26" s="404">
        <f>BL26</f>
        <v>98.15</v>
      </c>
      <c r="AB26" s="405">
        <f>BP26</f>
        <v>191.35000000000002</v>
      </c>
      <c r="AC26" s="407">
        <f>BQ26</f>
        <v>289.5</v>
      </c>
      <c r="AD26" s="408">
        <f>AE26-AY26</f>
        <v>611.6</v>
      </c>
      <c r="AE26" s="409">
        <f t="shared" si="8"/>
        <v>775.19</v>
      </c>
      <c r="AF26" s="410">
        <f t="shared" si="9"/>
        <v>0.11904761904761904</v>
      </c>
      <c r="AG26" s="411">
        <f>AH26-AM26</f>
        <v>72.809523809523796</v>
      </c>
      <c r="AH26" s="412">
        <f>AU26</f>
        <v>92.28452380952379</v>
      </c>
      <c r="AJ26" s="730">
        <v>1</v>
      </c>
      <c r="AL26" s="413">
        <f t="shared" si="12"/>
        <v>1.583333333333333</v>
      </c>
      <c r="AM26" s="414">
        <f>AL26*$E$7</f>
        <v>19.474999999999998</v>
      </c>
      <c r="AN26" s="414">
        <f t="shared" si="14"/>
        <v>25.386904761904759</v>
      </c>
      <c r="AO26" s="414">
        <f t="shared" si="15"/>
        <v>0</v>
      </c>
      <c r="AP26" s="415">
        <f>SUM(AM26:AO26)</f>
        <v>44.861904761904754</v>
      </c>
      <c r="AQ26" s="414">
        <f t="shared" si="17"/>
        <v>25.476190476190474</v>
      </c>
      <c r="AR26" s="414">
        <f t="shared" si="18"/>
        <v>2.9583333333333335</v>
      </c>
      <c r="AS26" s="414">
        <f t="shared" si="19"/>
        <v>18.988095238095237</v>
      </c>
      <c r="AT26" s="415">
        <f>SUM(AQ26:AS26)</f>
        <v>47.422619047619044</v>
      </c>
      <c r="AU26" s="416">
        <f>AP26+AT26</f>
        <v>92.28452380952379</v>
      </c>
      <c r="AV26" s="417"/>
      <c r="AW26" s="418">
        <f t="shared" si="22"/>
        <v>55</v>
      </c>
      <c r="AX26" s="413">
        <f>IF(D26="",0,E26*VLOOKUP(H26,Trekkers!$E$141:$L$143,COLUMNS(Trekkers!$E$141:$L$141),FALSE)*AJ26)</f>
        <v>13.299999999999999</v>
      </c>
      <c r="AY26" s="414">
        <f>AX26*$E$7</f>
        <v>163.59</v>
      </c>
      <c r="AZ26" s="414">
        <f>IF(D26="",0,VLOOKUP($D26,Trekkers!$A:$V,COLUMN(Trekkers!$K$5),FALSE))</f>
        <v>115.10000000000001</v>
      </c>
      <c r="BA26" s="414">
        <f>0</f>
        <v>0</v>
      </c>
      <c r="BB26" s="415">
        <f>SUM(AY26:BA26)</f>
        <v>278.69</v>
      </c>
      <c r="BC26" s="414">
        <f>IF($D26="",0,VLOOKUP($D26,Trekkers!$A:$V,COLUMN(Trekkers!$G$5),FALSE)*$E$9/100)</f>
        <v>103.6</v>
      </c>
      <c r="BD26" s="414">
        <f>IF($D26="",0,VLOOKUP($D26,Trekkers!$A:$V,COLUMN(Trekkers!$H$5),FALSE))</f>
        <v>14.75</v>
      </c>
      <c r="BE26" s="414">
        <f>IF($D26="",0,VLOOKUP($D26,Trekkers!$A:$V,COLUMN(Trekkers!$I$5),FALSE)/$G$8*$E$8)</f>
        <v>88.65</v>
      </c>
      <c r="BF26" s="415">
        <f>SUM(BC26:BE26)</f>
        <v>207</v>
      </c>
      <c r="BG26" s="416">
        <f>BB26+BF26</f>
        <v>485.69</v>
      </c>
      <c r="BH26" s="417"/>
      <c r="BI26" s="418">
        <f t="shared" si="0"/>
        <v>245</v>
      </c>
      <c r="BJ26" s="414">
        <f>IF($I26=0,0,VLOOKUP($I26,'Implemente &amp; Waens'!$A:$Z,COLUMN('Implemente &amp; Waens'!M$5),FALSE))</f>
        <v>98.15</v>
      </c>
      <c r="BK26" s="414">
        <f>IF($I26=0,0,VLOOKUP($I26,'Implemente &amp; Waens'!$A:$Z,COLUMN('Implemente &amp; Waens'!N$5),FALSE))</f>
        <v>0</v>
      </c>
      <c r="BL26" s="415">
        <f>SUM(BJ26:BK26)</f>
        <v>98.15</v>
      </c>
      <c r="BM26" s="414">
        <f>IF($I26=0,0,VLOOKUP($I26,'Implemente &amp; Waens'!$A:$Z,COLUMN('Implemente &amp; Waens'!I$5),FALSE)*$E$9/100)</f>
        <v>110.4</v>
      </c>
      <c r="BN26" s="414">
        <f>IF($I26=0,0,VLOOKUP($I26,'Implemente &amp; Waens'!$A:$Z,COLUMN('Implemente &amp; Waens'!J$5),FALSE))</f>
        <v>10.100000000000001</v>
      </c>
      <c r="BO26" s="414">
        <f>IF($I26=0,0,VLOOKUP($I26,'Implemente &amp; Waens'!$A:$Z,COLUMN('Implemente &amp; Waens'!K$5),FALSE)/$G$8*$E$8)</f>
        <v>70.850000000000009</v>
      </c>
      <c r="BP26" s="415">
        <f>SUM(BM26:BO26)</f>
        <v>191.35000000000002</v>
      </c>
      <c r="BQ26" s="416">
        <f>SUM(BL26,BP26)</f>
        <v>289.5</v>
      </c>
    </row>
    <row r="27" spans="2:69">
      <c r="B27" s="397"/>
      <c r="C27" s="731" t="s">
        <v>1253</v>
      </c>
      <c r="D27" s="398">
        <f>Trekkers!A55</f>
        <v>55</v>
      </c>
      <c r="E27" s="399">
        <f>IF($D27="",0,VLOOKUP($D27,Trekkers!$A:$U,COLUMN(Trekkers!C$5),FALSE))</f>
        <v>95</v>
      </c>
      <c r="F27" s="399">
        <f>IF($D27="",0,VLOOKUP($D27,Trekkers!$A:$U,COLUMN(Trekkers!D$5),FALSE))</f>
        <v>127.39709851152769</v>
      </c>
      <c r="G27" s="399" t="str">
        <f>IF($D27="",0,VLOOKUP($D27,Trekkers!$A:$U,COLUMN(Trekkers!E$5),FALSE))</f>
        <v>4W</v>
      </c>
      <c r="H27" s="815" t="s">
        <v>91</v>
      </c>
      <c r="I27" s="398">
        <f>'Implemente &amp; Waens'!A$245</f>
        <v>245</v>
      </c>
      <c r="J27" s="400" t="str">
        <f>IF($I27=0,0,VLOOKUP($I27,'Implemente &amp; Waens'!$A:$Z,COLUMN('Implemente &amp; Waens'!C$5),FALSE))</f>
        <v>Strooier : Dubbelskyf, 1500L, 10-36m, 3-punt</v>
      </c>
      <c r="K27" s="968">
        <v>20</v>
      </c>
      <c r="L27" s="762">
        <v>12</v>
      </c>
      <c r="M27" s="763">
        <v>0.7</v>
      </c>
      <c r="N27" s="402">
        <f>IF(COUNT(K27:M27)=3,10000/((K27*(L27*1000))*M27),0)</f>
        <v>5.9523809523809521E-2</v>
      </c>
      <c r="O27" s="403">
        <f>K27*L27*M27/10</f>
        <v>16.8</v>
      </c>
      <c r="P27" s="915">
        <f t="shared" si="30"/>
        <v>20.541666666666657</v>
      </c>
      <c r="Q27" s="915">
        <f t="shared" si="31"/>
        <v>26.910714285714278</v>
      </c>
      <c r="R27" s="915">
        <f t="shared" si="32"/>
        <v>31.657738095238088</v>
      </c>
      <c r="S27" s="923">
        <f t="shared" si="33"/>
        <v>36.404761904761898</v>
      </c>
      <c r="T27" s="917">
        <f t="shared" si="34"/>
        <v>0.79166666666666652</v>
      </c>
      <c r="U27" s="919">
        <f t="shared" si="35"/>
        <v>9.7374999999999989</v>
      </c>
      <c r="V27" s="923">
        <f t="shared" si="36"/>
        <v>46.142261904761895</v>
      </c>
      <c r="X27" s="404">
        <f>BB27</f>
        <v>278.69</v>
      </c>
      <c r="Y27" s="405">
        <f>BF27</f>
        <v>207</v>
      </c>
      <c r="Z27" s="406">
        <f>BG27</f>
        <v>485.69</v>
      </c>
      <c r="AA27" s="404">
        <f>BL27</f>
        <v>98.15</v>
      </c>
      <c r="AB27" s="405">
        <f>BP27</f>
        <v>191.35000000000002</v>
      </c>
      <c r="AC27" s="407">
        <f>BQ27</f>
        <v>289.5</v>
      </c>
      <c r="AD27" s="408">
        <f>AE27-AY27</f>
        <v>611.6</v>
      </c>
      <c r="AE27" s="409">
        <f t="shared" si="8"/>
        <v>775.19</v>
      </c>
      <c r="AF27" s="410">
        <f t="shared" si="9"/>
        <v>5.9523809523809521E-2</v>
      </c>
      <c r="AG27" s="411">
        <f>AH27-AM27</f>
        <v>36.404761904761898</v>
      </c>
      <c r="AH27" s="412">
        <f>AU27</f>
        <v>46.142261904761895</v>
      </c>
      <c r="AJ27" s="730">
        <v>1</v>
      </c>
      <c r="AL27" s="413">
        <f t="shared" si="12"/>
        <v>0.79166666666666652</v>
      </c>
      <c r="AM27" s="414">
        <f>AL27*$E$7</f>
        <v>9.7374999999999989</v>
      </c>
      <c r="AN27" s="414">
        <f t="shared" si="14"/>
        <v>12.69345238095238</v>
      </c>
      <c r="AO27" s="414">
        <f t="shared" si="15"/>
        <v>0</v>
      </c>
      <c r="AP27" s="415">
        <f>SUM(AM27:AO27)</f>
        <v>22.430952380952377</v>
      </c>
      <c r="AQ27" s="414">
        <f t="shared" si="17"/>
        <v>12.738095238095237</v>
      </c>
      <c r="AR27" s="414">
        <f t="shared" si="18"/>
        <v>1.4791666666666667</v>
      </c>
      <c r="AS27" s="414">
        <f t="shared" si="19"/>
        <v>9.4940476190476186</v>
      </c>
      <c r="AT27" s="415">
        <f>SUM(AQ27:AS27)</f>
        <v>23.711309523809522</v>
      </c>
      <c r="AU27" s="416">
        <f>AP27+AT27</f>
        <v>46.142261904761895</v>
      </c>
      <c r="AV27" s="417"/>
      <c r="AW27" s="418">
        <f t="shared" si="22"/>
        <v>55</v>
      </c>
      <c r="AX27" s="413">
        <f>IF(D27="",0,E27*VLOOKUP(H27,Trekkers!$E$141:$L$143,COLUMNS(Trekkers!$E$141:$L$141),FALSE)*AJ27)</f>
        <v>13.299999999999999</v>
      </c>
      <c r="AY27" s="414">
        <f>AX27*$E$7</f>
        <v>163.59</v>
      </c>
      <c r="AZ27" s="414">
        <f>IF(D27="",0,VLOOKUP($D27,Trekkers!$A:$V,COLUMN(Trekkers!$K$5),FALSE))</f>
        <v>115.10000000000001</v>
      </c>
      <c r="BA27" s="414">
        <f>0</f>
        <v>0</v>
      </c>
      <c r="BB27" s="415">
        <f>SUM(AY27:BA27)</f>
        <v>278.69</v>
      </c>
      <c r="BC27" s="414">
        <f>IF($D27="",0,VLOOKUP($D27,Trekkers!$A:$V,COLUMN(Trekkers!$G$5),FALSE)*$E$9/100)</f>
        <v>103.6</v>
      </c>
      <c r="BD27" s="414">
        <f>IF($D27="",0,VLOOKUP($D27,Trekkers!$A:$V,COLUMN(Trekkers!$H$5),FALSE))</f>
        <v>14.75</v>
      </c>
      <c r="BE27" s="414">
        <f>IF($D27="",0,VLOOKUP($D27,Trekkers!$A:$V,COLUMN(Trekkers!$I$5),FALSE)/$G$8*$E$8)</f>
        <v>88.65</v>
      </c>
      <c r="BF27" s="415">
        <f>SUM(BC27:BE27)</f>
        <v>207</v>
      </c>
      <c r="BG27" s="416">
        <f>BB27+BF27</f>
        <v>485.69</v>
      </c>
      <c r="BH27" s="417"/>
      <c r="BI27" s="418">
        <f t="shared" si="0"/>
        <v>245</v>
      </c>
      <c r="BJ27" s="414">
        <f>IF($I27=0,0,VLOOKUP($I27,'Implemente &amp; Waens'!$A:$Z,COLUMN('Implemente &amp; Waens'!M$5),FALSE))</f>
        <v>98.15</v>
      </c>
      <c r="BK27" s="414">
        <f>IF($I27=0,0,VLOOKUP($I27,'Implemente &amp; Waens'!$A:$Z,COLUMN('Implemente &amp; Waens'!N$5),FALSE))</f>
        <v>0</v>
      </c>
      <c r="BL27" s="415">
        <f>SUM(BJ27:BK27)</f>
        <v>98.15</v>
      </c>
      <c r="BM27" s="414">
        <f>IF($I27=0,0,VLOOKUP($I27,'Implemente &amp; Waens'!$A:$Z,COLUMN('Implemente &amp; Waens'!I$5),FALSE)*$E$9/100)</f>
        <v>110.4</v>
      </c>
      <c r="BN27" s="414">
        <f>IF($I27=0,0,VLOOKUP($I27,'Implemente &amp; Waens'!$A:$Z,COLUMN('Implemente &amp; Waens'!J$5),FALSE))</f>
        <v>10.100000000000001</v>
      </c>
      <c r="BO27" s="414">
        <f>IF($I27=0,0,VLOOKUP($I27,'Implemente &amp; Waens'!$A:$Z,COLUMN('Implemente &amp; Waens'!K$5),FALSE)/$G$8*$E$8)</f>
        <v>70.850000000000009</v>
      </c>
      <c r="BP27" s="415">
        <f>SUM(BM27:BO27)</f>
        <v>191.35000000000002</v>
      </c>
      <c r="BQ27" s="416">
        <f>SUM(BL27,BP27)</f>
        <v>289.5</v>
      </c>
    </row>
    <row r="28" spans="2:69">
      <c r="B28" s="397"/>
      <c r="C28" s="731" t="s">
        <v>1254</v>
      </c>
      <c r="D28" s="398">
        <f>Trekkers!A51</f>
        <v>51</v>
      </c>
      <c r="E28" s="399">
        <f>IF($D28="",0,VLOOKUP($D28,Trekkers!$A:$U,COLUMN(Trekkers!C$5),FALSE))</f>
        <v>75</v>
      </c>
      <c r="F28" s="399">
        <f>IF($D28="",0,VLOOKUP($D28,Trekkers!$A:$U,COLUMN(Trekkers!D$5),FALSE))</f>
        <v>100.57665671962711</v>
      </c>
      <c r="G28" s="399" t="str">
        <f>IF($D28="",0,VLOOKUP($D28,Trekkers!$A:$U,COLUMN(Trekkers!E$5),FALSE))</f>
        <v>4W</v>
      </c>
      <c r="H28" s="815" t="s">
        <v>133</v>
      </c>
      <c r="I28" s="398">
        <f>'Implemente &amp; Waens'!A$253</f>
        <v>253</v>
      </c>
      <c r="J28" s="400" t="str">
        <f>IF($I28=0,0,VLOOKUP($I28,'Implemente &amp; Waens'!$A:$Z,COLUMN('Implemente &amp; Waens'!C$5),FALSE))</f>
        <v>Strooier : Dubbelskyf, Boordmodel, 2000L, 3ton</v>
      </c>
      <c r="K28" s="969">
        <v>10</v>
      </c>
      <c r="L28" s="875">
        <v>10</v>
      </c>
      <c r="M28" s="876">
        <v>0.6</v>
      </c>
      <c r="N28" s="402">
        <f t="shared" ref="N28" si="60">IF(COUNT(K28:M28)=3,10000/((K28*(L28*1000))*M28),0)</f>
        <v>0.16666666666666666</v>
      </c>
      <c r="O28" s="403">
        <f t="shared" ref="O28" si="61">K28*L28*M28/10</f>
        <v>6</v>
      </c>
      <c r="P28" s="915">
        <f t="shared" si="30"/>
        <v>52.133333333333326</v>
      </c>
      <c r="Q28" s="915">
        <f t="shared" si="31"/>
        <v>68.591666666666654</v>
      </c>
      <c r="R28" s="915">
        <f t="shared" si="32"/>
        <v>80.48333333333332</v>
      </c>
      <c r="S28" s="923">
        <f t="shared" si="33"/>
        <v>92.374999999999986</v>
      </c>
      <c r="T28" s="917">
        <f t="shared" si="34"/>
        <v>1.96875</v>
      </c>
      <c r="U28" s="919">
        <f t="shared" si="35"/>
        <v>24.215625000000003</v>
      </c>
      <c r="V28" s="923">
        <f t="shared" si="36"/>
        <v>116.59062499999999</v>
      </c>
      <c r="X28" s="404">
        <f t="shared" ref="X28" si="62">BB28</f>
        <v>228.24375000000003</v>
      </c>
      <c r="Y28" s="405">
        <f t="shared" ref="Y28:Z28" si="63">BF28</f>
        <v>149.15</v>
      </c>
      <c r="Z28" s="406">
        <f t="shared" si="63"/>
        <v>377.39375000000007</v>
      </c>
      <c r="AA28" s="404">
        <f t="shared" ref="AA28" si="64">BL28</f>
        <v>109.2</v>
      </c>
      <c r="AB28" s="405">
        <f t="shared" ref="AB28:AC28" si="65">BP28</f>
        <v>212.95</v>
      </c>
      <c r="AC28" s="407">
        <f t="shared" si="65"/>
        <v>322.14999999999998</v>
      </c>
      <c r="AD28" s="408">
        <f t="shared" ref="AD28" si="66">AE28-AY28</f>
        <v>554.25</v>
      </c>
      <c r="AE28" s="409">
        <f t="shared" si="8"/>
        <v>699.54375000000005</v>
      </c>
      <c r="AF28" s="410">
        <f t="shared" si="9"/>
        <v>0.16666666666666666</v>
      </c>
      <c r="AG28" s="411">
        <f t="shared" ref="AG28" si="67">AH28-AM28</f>
        <v>92.374999999999986</v>
      </c>
      <c r="AH28" s="412">
        <f t="shared" ref="AH28" si="68">AU28</f>
        <v>116.59062499999999</v>
      </c>
      <c r="AJ28" s="730">
        <v>1</v>
      </c>
      <c r="AL28" s="413">
        <f t="shared" si="12"/>
        <v>1.96875</v>
      </c>
      <c r="AM28" s="414">
        <f t="shared" ref="AM28" si="69">AL28*$E$7</f>
        <v>24.215625000000003</v>
      </c>
      <c r="AN28" s="414">
        <f t="shared" si="14"/>
        <v>32.024999999999999</v>
      </c>
      <c r="AO28" s="414">
        <f t="shared" si="15"/>
        <v>0</v>
      </c>
      <c r="AP28" s="415">
        <f t="shared" ref="AP28" si="70">SUM(AM28:AO28)</f>
        <v>56.240625000000001</v>
      </c>
      <c r="AQ28" s="414">
        <f t="shared" si="17"/>
        <v>32.916666666666664</v>
      </c>
      <c r="AR28" s="414">
        <f t="shared" si="18"/>
        <v>3.6499999999999995</v>
      </c>
      <c r="AS28" s="414">
        <f t="shared" si="19"/>
        <v>23.783333333333331</v>
      </c>
      <c r="AT28" s="415">
        <f t="shared" ref="AT28" si="71">SUM(AQ28:AS28)</f>
        <v>60.349999999999994</v>
      </c>
      <c r="AU28" s="416">
        <f t="shared" ref="AU28" si="72">AP28+AT28</f>
        <v>116.59062499999999</v>
      </c>
      <c r="AV28" s="417"/>
      <c r="AW28" s="418">
        <f t="shared" si="22"/>
        <v>51</v>
      </c>
      <c r="AX28" s="413">
        <f>IF(D28="",0,E28*VLOOKUP(H28,Trekkers!$E$141:$L$143,COLUMNS(Trekkers!$E$141:$L$141),FALSE)*AJ28)</f>
        <v>11.8125</v>
      </c>
      <c r="AY28" s="414">
        <f t="shared" ref="AY28" si="73">AX28*$E$7</f>
        <v>145.29375000000002</v>
      </c>
      <c r="AZ28" s="414">
        <f>IF(D28="",0,VLOOKUP($D28,Trekkers!$A:$V,COLUMN(Trekkers!$K$5),FALSE))</f>
        <v>82.95</v>
      </c>
      <c r="BA28" s="414">
        <f>0</f>
        <v>0</v>
      </c>
      <c r="BB28" s="415">
        <f t="shared" ref="BB28" si="74">SUM(AY28:BA28)</f>
        <v>228.24375000000003</v>
      </c>
      <c r="BC28" s="414">
        <f>IF($D28="",0,VLOOKUP($D28,Trekkers!$A:$V,COLUMN(Trekkers!$G$5),FALSE)*$E$9/100)</f>
        <v>74.650000000000006</v>
      </c>
      <c r="BD28" s="414">
        <f>IF($D28="",0,VLOOKUP($D28,Trekkers!$A:$V,COLUMN(Trekkers!$H$5),FALSE))</f>
        <v>10.65</v>
      </c>
      <c r="BE28" s="414">
        <f>IF($D28="",0,VLOOKUP($D28,Trekkers!$A:$V,COLUMN(Trekkers!$I$5),FALSE)/$G$8*$E$8)</f>
        <v>63.849999999999994</v>
      </c>
      <c r="BF28" s="415">
        <f t="shared" ref="BF28" si="75">SUM(BC28:BE28)</f>
        <v>149.15</v>
      </c>
      <c r="BG28" s="416">
        <f t="shared" ref="BG28" si="76">BB28+BF28</f>
        <v>377.39375000000007</v>
      </c>
      <c r="BH28" s="417"/>
      <c r="BI28" s="418">
        <f t="shared" si="0"/>
        <v>253</v>
      </c>
      <c r="BJ28" s="414">
        <f>IF($I28=0,0,VLOOKUP($I28,'Implemente &amp; Waens'!$A:$Z,COLUMN('Implemente &amp; Waens'!M$5),FALSE))</f>
        <v>109.2</v>
      </c>
      <c r="BK28" s="414">
        <f>IF($I28=0,0,VLOOKUP($I28,'Implemente &amp; Waens'!$A:$Z,COLUMN('Implemente &amp; Waens'!N$5),FALSE))</f>
        <v>0</v>
      </c>
      <c r="BL28" s="415">
        <f t="shared" ref="BL28" si="77">SUM(BJ28:BK28)</f>
        <v>109.2</v>
      </c>
      <c r="BM28" s="414">
        <f>IF($I28=0,0,VLOOKUP($I28,'Implemente &amp; Waens'!$A:$Z,COLUMN('Implemente &amp; Waens'!I$5),FALSE)*$E$9/100)</f>
        <v>122.85</v>
      </c>
      <c r="BN28" s="414">
        <f>IF($I28=0,0,VLOOKUP($I28,'Implemente &amp; Waens'!$A:$Z,COLUMN('Implemente &amp; Waens'!J$5),FALSE))</f>
        <v>11.25</v>
      </c>
      <c r="BO28" s="414">
        <f>IF($I28=0,0,VLOOKUP($I28,'Implemente &amp; Waens'!$A:$Z,COLUMN('Implemente &amp; Waens'!K$5),FALSE)/$G$8*$E$8)</f>
        <v>78.850000000000009</v>
      </c>
      <c r="BP28" s="415">
        <f t="shared" ref="BP28" si="78">SUM(BM28:BO28)</f>
        <v>212.95</v>
      </c>
      <c r="BQ28" s="416">
        <f t="shared" ref="BQ28" si="79">SUM(BL28,BP28)</f>
        <v>322.14999999999998</v>
      </c>
    </row>
    <row r="29" spans="2:69">
      <c r="B29" s="397"/>
      <c r="C29" s="731" t="s">
        <v>1255</v>
      </c>
      <c r="D29" s="398">
        <f>Trekkers!A51</f>
        <v>51</v>
      </c>
      <c r="E29" s="399">
        <f>IF($D29="",0,VLOOKUP($D29,Trekkers!$A:$U,COLUMN(Trekkers!C$5),FALSE))</f>
        <v>75</v>
      </c>
      <c r="F29" s="399">
        <f>IF($D29="",0,VLOOKUP($D29,Trekkers!$A:$U,COLUMN(Trekkers!D$5),FALSE))</f>
        <v>100.57665671962711</v>
      </c>
      <c r="G29" s="399" t="str">
        <f>IF($D29="",0,VLOOKUP($D29,Trekkers!$A:$U,COLUMN(Trekkers!E$5),FALSE))</f>
        <v>4W</v>
      </c>
      <c r="H29" s="815" t="s">
        <v>133</v>
      </c>
      <c r="I29" s="398">
        <f>'Implemente &amp; Waens'!A$253</f>
        <v>253</v>
      </c>
      <c r="J29" s="400" t="str">
        <f>IF($I29=0,0,VLOOKUP($I29,'Implemente &amp; Waens'!$A:$Z,COLUMN('Implemente &amp; Waens'!C$5),FALSE))</f>
        <v>Strooier : Dubbelskyf, Boordmodel, 2000L, 3ton</v>
      </c>
      <c r="K29" s="968">
        <v>20</v>
      </c>
      <c r="L29" s="762">
        <v>10</v>
      </c>
      <c r="M29" s="763">
        <v>0.6</v>
      </c>
      <c r="N29" s="402">
        <f t="shared" si="1"/>
        <v>8.3333333333333329E-2</v>
      </c>
      <c r="O29" s="403">
        <f t="shared" si="37"/>
        <v>12</v>
      </c>
      <c r="P29" s="915">
        <f t="shared" si="30"/>
        <v>26.066666666666663</v>
      </c>
      <c r="Q29" s="915">
        <f t="shared" si="31"/>
        <v>34.295833333333327</v>
      </c>
      <c r="R29" s="915">
        <f t="shared" si="32"/>
        <v>40.24166666666666</v>
      </c>
      <c r="S29" s="923">
        <f t="shared" si="33"/>
        <v>46.187499999999993</v>
      </c>
      <c r="T29" s="917">
        <f t="shared" si="34"/>
        <v>0.984375</v>
      </c>
      <c r="U29" s="919">
        <f t="shared" si="35"/>
        <v>12.107812500000001</v>
      </c>
      <c r="V29" s="923">
        <f t="shared" si="36"/>
        <v>58.295312499999994</v>
      </c>
      <c r="X29" s="404">
        <f t="shared" si="3"/>
        <v>228.24375000000003</v>
      </c>
      <c r="Y29" s="405">
        <f t="shared" si="4"/>
        <v>149.15</v>
      </c>
      <c r="Z29" s="406">
        <f t="shared" si="4"/>
        <v>377.39375000000007</v>
      </c>
      <c r="AA29" s="404">
        <f t="shared" si="5"/>
        <v>109.2</v>
      </c>
      <c r="AB29" s="405">
        <f t="shared" si="6"/>
        <v>212.95</v>
      </c>
      <c r="AC29" s="407">
        <f t="shared" si="6"/>
        <v>322.14999999999998</v>
      </c>
      <c r="AD29" s="408">
        <f t="shared" si="38"/>
        <v>554.25</v>
      </c>
      <c r="AE29" s="409">
        <f t="shared" si="8"/>
        <v>699.54375000000005</v>
      </c>
      <c r="AF29" s="410">
        <f t="shared" si="9"/>
        <v>8.3333333333333329E-2</v>
      </c>
      <c r="AG29" s="411">
        <f t="shared" si="39"/>
        <v>46.187499999999993</v>
      </c>
      <c r="AH29" s="412">
        <f t="shared" si="11"/>
        <v>58.295312499999994</v>
      </c>
      <c r="AJ29" s="730">
        <v>1</v>
      </c>
      <c r="AL29" s="413">
        <f t="shared" si="12"/>
        <v>0.984375</v>
      </c>
      <c r="AM29" s="414">
        <f t="shared" si="13"/>
        <v>12.107812500000001</v>
      </c>
      <c r="AN29" s="414">
        <f t="shared" si="14"/>
        <v>16.012499999999999</v>
      </c>
      <c r="AO29" s="414">
        <f t="shared" si="15"/>
        <v>0</v>
      </c>
      <c r="AP29" s="415">
        <f t="shared" si="16"/>
        <v>28.120312500000001</v>
      </c>
      <c r="AQ29" s="414">
        <f t="shared" si="17"/>
        <v>16.458333333333332</v>
      </c>
      <c r="AR29" s="414">
        <f t="shared" si="18"/>
        <v>1.8249999999999997</v>
      </c>
      <c r="AS29" s="414">
        <f t="shared" si="19"/>
        <v>11.891666666666666</v>
      </c>
      <c r="AT29" s="415">
        <f t="shared" si="20"/>
        <v>30.174999999999997</v>
      </c>
      <c r="AU29" s="416">
        <f t="shared" si="21"/>
        <v>58.295312499999994</v>
      </c>
      <c r="AV29" s="417"/>
      <c r="AW29" s="418">
        <f t="shared" si="22"/>
        <v>51</v>
      </c>
      <c r="AX29" s="413">
        <f>IF(D29="",0,E29*VLOOKUP(H29,Trekkers!$E$141:$L$143,COLUMNS(Trekkers!$E$141:$L$141),FALSE)*AJ29)</f>
        <v>11.8125</v>
      </c>
      <c r="AY29" s="414">
        <f t="shared" si="23"/>
        <v>145.29375000000002</v>
      </c>
      <c r="AZ29" s="414">
        <f>IF(D29="",0,VLOOKUP($D29,Trekkers!$A:$V,COLUMN(Trekkers!$K$5),FALSE))</f>
        <v>82.95</v>
      </c>
      <c r="BA29" s="414">
        <f>0</f>
        <v>0</v>
      </c>
      <c r="BB29" s="415">
        <f t="shared" si="24"/>
        <v>228.24375000000003</v>
      </c>
      <c r="BC29" s="414">
        <f>IF($D29="",0,VLOOKUP($D29,Trekkers!$A:$V,COLUMN(Trekkers!$G$5),FALSE)*$E$9/100)</f>
        <v>74.650000000000006</v>
      </c>
      <c r="BD29" s="414">
        <f>IF($D29="",0,VLOOKUP($D29,Trekkers!$A:$V,COLUMN(Trekkers!$H$5),FALSE))</f>
        <v>10.65</v>
      </c>
      <c r="BE29" s="414">
        <f>IF($D29="",0,VLOOKUP($D29,Trekkers!$A:$V,COLUMN(Trekkers!$I$5),FALSE)/$G$8*$E$8)</f>
        <v>63.849999999999994</v>
      </c>
      <c r="BF29" s="415">
        <f t="shared" si="25"/>
        <v>149.15</v>
      </c>
      <c r="BG29" s="416">
        <f t="shared" si="26"/>
        <v>377.39375000000007</v>
      </c>
      <c r="BH29" s="417"/>
      <c r="BI29" s="418">
        <f t="shared" si="0"/>
        <v>253</v>
      </c>
      <c r="BJ29" s="414">
        <f>IF($I29=0,0,VLOOKUP($I29,'Implemente &amp; Waens'!$A:$Z,COLUMN('Implemente &amp; Waens'!M$5),FALSE))</f>
        <v>109.2</v>
      </c>
      <c r="BK29" s="414">
        <f>IF($I29=0,0,VLOOKUP($I29,'Implemente &amp; Waens'!$A:$Z,COLUMN('Implemente &amp; Waens'!N$5),FALSE))</f>
        <v>0</v>
      </c>
      <c r="BL29" s="415">
        <f t="shared" si="27"/>
        <v>109.2</v>
      </c>
      <c r="BM29" s="414">
        <f>IF($I29=0,0,VLOOKUP($I29,'Implemente &amp; Waens'!$A:$Z,COLUMN('Implemente &amp; Waens'!I$5),FALSE)*$E$9/100)</f>
        <v>122.85</v>
      </c>
      <c r="BN29" s="414">
        <f>IF($I29=0,0,VLOOKUP($I29,'Implemente &amp; Waens'!$A:$Z,COLUMN('Implemente &amp; Waens'!J$5),FALSE))</f>
        <v>11.25</v>
      </c>
      <c r="BO29" s="414">
        <f>IF($I29=0,0,VLOOKUP($I29,'Implemente &amp; Waens'!$A:$Z,COLUMN('Implemente &amp; Waens'!K$5),FALSE)/$G$8*$E$8)</f>
        <v>78.850000000000009</v>
      </c>
      <c r="BP29" s="415">
        <f t="shared" si="28"/>
        <v>212.95</v>
      </c>
      <c r="BQ29" s="416">
        <f t="shared" si="29"/>
        <v>322.14999999999998</v>
      </c>
    </row>
    <row r="30" spans="2:69">
      <c r="B30" s="397"/>
      <c r="C30" s="731" t="s">
        <v>1256</v>
      </c>
      <c r="D30" s="398">
        <f>Trekkers!A52</f>
        <v>52</v>
      </c>
      <c r="E30" s="399">
        <f>IF($D30="",0,VLOOKUP($D30,Trekkers!$A:$U,COLUMN(Trekkers!C$5),FALSE))</f>
        <v>80</v>
      </c>
      <c r="F30" s="399">
        <f>IF($D30="",0,VLOOKUP($D30,Trekkers!$A:$U,COLUMN(Trekkers!D$5),FALSE))</f>
        <v>107.28176716760225</v>
      </c>
      <c r="G30" s="399" t="str">
        <f>IF($D30="",0,VLOOKUP($D30,Trekkers!$A:$U,COLUMN(Trekkers!E$5),FALSE))</f>
        <v>4W</v>
      </c>
      <c r="H30" s="815" t="s">
        <v>133</v>
      </c>
      <c r="I30" s="398">
        <f>'Implemente &amp; Waens'!A$272</f>
        <v>272</v>
      </c>
      <c r="J30" s="400" t="str">
        <f>IF($I30=0,0,VLOOKUP($I30,'Implemente &amp; Waens'!$A:$Z,COLUMN('Implemente &amp; Waens'!C$5),FALSE))</f>
        <v>Mis en Slykstrooier: 6100L, Syaflaai, Horisontaal, Sleep</v>
      </c>
      <c r="K30" s="968">
        <v>6</v>
      </c>
      <c r="L30" s="762">
        <v>10</v>
      </c>
      <c r="M30" s="763">
        <v>0.6</v>
      </c>
      <c r="N30" s="402">
        <f t="shared" si="1"/>
        <v>0.27777777777777779</v>
      </c>
      <c r="O30" s="403">
        <f t="shared" si="37"/>
        <v>3.6</v>
      </c>
      <c r="P30" s="915">
        <f t="shared" si="30"/>
        <v>126.63888888888889</v>
      </c>
      <c r="Q30" s="915">
        <f t="shared" si="31"/>
        <v>179.90277777777777</v>
      </c>
      <c r="R30" s="915">
        <f t="shared" si="32"/>
        <v>216.5</v>
      </c>
      <c r="S30" s="923">
        <f t="shared" si="33"/>
        <v>253.09722222222223</v>
      </c>
      <c r="T30" s="917">
        <f t="shared" si="34"/>
        <v>3.5</v>
      </c>
      <c r="U30" s="919">
        <f t="shared" si="35"/>
        <v>43.050000000000004</v>
      </c>
      <c r="V30" s="923">
        <f t="shared" si="36"/>
        <v>296.14722222222224</v>
      </c>
      <c r="X30" s="404">
        <f t="shared" si="3"/>
        <v>245.58000000000004</v>
      </c>
      <c r="Y30" s="405">
        <f t="shared" si="4"/>
        <v>162.95000000000002</v>
      </c>
      <c r="Z30" s="406">
        <f t="shared" si="4"/>
        <v>408.53000000000009</v>
      </c>
      <c r="AA30" s="404">
        <f t="shared" si="5"/>
        <v>134.20000000000002</v>
      </c>
      <c r="AB30" s="405">
        <f t="shared" si="6"/>
        <v>523.4</v>
      </c>
      <c r="AC30" s="407">
        <f t="shared" si="6"/>
        <v>657.6</v>
      </c>
      <c r="AD30" s="408">
        <f t="shared" si="38"/>
        <v>911.15000000000009</v>
      </c>
      <c r="AE30" s="409">
        <f t="shared" si="8"/>
        <v>1066.1300000000001</v>
      </c>
      <c r="AF30" s="410">
        <f t="shared" si="9"/>
        <v>0.27777777777777779</v>
      </c>
      <c r="AG30" s="411">
        <f t="shared" si="39"/>
        <v>253.09722222222223</v>
      </c>
      <c r="AH30" s="412">
        <f t="shared" si="11"/>
        <v>296.14722222222224</v>
      </c>
      <c r="AJ30" s="730">
        <v>1</v>
      </c>
      <c r="AL30" s="413">
        <f t="shared" si="12"/>
        <v>3.5</v>
      </c>
      <c r="AM30" s="414">
        <f t="shared" si="13"/>
        <v>43.050000000000004</v>
      </c>
      <c r="AN30" s="414">
        <f t="shared" si="14"/>
        <v>62.44444444444445</v>
      </c>
      <c r="AO30" s="414">
        <f t="shared" si="15"/>
        <v>0</v>
      </c>
      <c r="AP30" s="415">
        <f t="shared" si="16"/>
        <v>105.49444444444445</v>
      </c>
      <c r="AQ30" s="414">
        <f t="shared" si="17"/>
        <v>106.52777777777779</v>
      </c>
      <c r="AR30" s="414">
        <f t="shared" si="18"/>
        <v>10.930555555555557</v>
      </c>
      <c r="AS30" s="414">
        <f t="shared" si="19"/>
        <v>73.194444444444443</v>
      </c>
      <c r="AT30" s="415">
        <f t="shared" si="20"/>
        <v>190.65277777777777</v>
      </c>
      <c r="AU30" s="416">
        <f t="shared" si="21"/>
        <v>296.14722222222224</v>
      </c>
      <c r="AV30" s="417"/>
      <c r="AW30" s="418">
        <f t="shared" si="22"/>
        <v>52</v>
      </c>
      <c r="AX30" s="413">
        <f>IF(D30="",0,E30*VLOOKUP(H30,Trekkers!$E$141:$L$143,COLUMNS(Trekkers!$E$141:$L$141),FALSE)*AJ30)</f>
        <v>12.6</v>
      </c>
      <c r="AY30" s="414">
        <f t="shared" si="23"/>
        <v>154.98000000000002</v>
      </c>
      <c r="AZ30" s="414">
        <f>IF(D30="",0,VLOOKUP($D30,Trekkers!$A:$V,COLUMN(Trekkers!$K$5),FALSE))</f>
        <v>90.600000000000009</v>
      </c>
      <c r="BA30" s="414">
        <f>0</f>
        <v>0</v>
      </c>
      <c r="BB30" s="415">
        <f t="shared" si="24"/>
        <v>245.58000000000004</v>
      </c>
      <c r="BC30" s="414">
        <f>IF($D30="",0,VLOOKUP($D30,Trekkers!$A:$V,COLUMN(Trekkers!$G$5),FALSE)*$E$9/100)</f>
        <v>81.550000000000011</v>
      </c>
      <c r="BD30" s="414">
        <f>IF($D30="",0,VLOOKUP($D30,Trekkers!$A:$V,COLUMN(Trekkers!$H$5),FALSE))</f>
        <v>11.65</v>
      </c>
      <c r="BE30" s="414">
        <f>IF($D30="",0,VLOOKUP($D30,Trekkers!$A:$V,COLUMN(Trekkers!$I$5),FALSE)/$G$8*$E$8)</f>
        <v>69.75</v>
      </c>
      <c r="BF30" s="415">
        <f t="shared" si="25"/>
        <v>162.95000000000002</v>
      </c>
      <c r="BG30" s="416">
        <f t="shared" si="26"/>
        <v>408.53000000000009</v>
      </c>
      <c r="BH30" s="417"/>
      <c r="BI30" s="418">
        <f t="shared" si="0"/>
        <v>272</v>
      </c>
      <c r="BJ30" s="414">
        <f>IF($I30=0,0,VLOOKUP($I30,'Implemente &amp; Waens'!$A:$Z,COLUMN('Implemente &amp; Waens'!M$5),FALSE))</f>
        <v>134.20000000000002</v>
      </c>
      <c r="BK30" s="414">
        <f>IF($I30=0,0,VLOOKUP($I30,'Implemente &amp; Waens'!$A:$Z,COLUMN('Implemente &amp; Waens'!N$5),FALSE))</f>
        <v>0</v>
      </c>
      <c r="BL30" s="415">
        <f t="shared" si="27"/>
        <v>134.20000000000002</v>
      </c>
      <c r="BM30" s="414">
        <f>IF($I30=0,0,VLOOKUP($I30,'Implemente &amp; Waens'!$A:$Z,COLUMN('Implemente &amp; Waens'!I$5),FALSE)*$E$9/100)</f>
        <v>301.95</v>
      </c>
      <c r="BN30" s="414">
        <f>IF($I30=0,0,VLOOKUP($I30,'Implemente &amp; Waens'!$A:$Z,COLUMN('Implemente &amp; Waens'!J$5),FALSE))</f>
        <v>27.700000000000003</v>
      </c>
      <c r="BO30" s="414">
        <f>IF($I30=0,0,VLOOKUP($I30,'Implemente &amp; Waens'!$A:$Z,COLUMN('Implemente &amp; Waens'!K$5),FALSE)/$G$8*$E$8)</f>
        <v>193.75</v>
      </c>
      <c r="BP30" s="415">
        <f t="shared" si="28"/>
        <v>523.4</v>
      </c>
      <c r="BQ30" s="416">
        <f t="shared" si="29"/>
        <v>657.6</v>
      </c>
    </row>
    <row r="31" spans="2:69">
      <c r="B31" s="397"/>
      <c r="C31" s="731" t="s">
        <v>1257</v>
      </c>
      <c r="D31" s="398">
        <f>Trekkers!A41</f>
        <v>41</v>
      </c>
      <c r="E31" s="399">
        <f>IF($D31="",0,VLOOKUP($D31,Trekkers!$A:$U,COLUMN(Trekkers!C$5),FALSE))</f>
        <v>25</v>
      </c>
      <c r="F31" s="399">
        <f>IF($D31="",0,VLOOKUP($D31,Trekkers!$A:$U,COLUMN(Trekkers!D$5),FALSE))</f>
        <v>33.525552239875708</v>
      </c>
      <c r="G31" s="399" t="str">
        <f>IF($D31="",0,VLOOKUP($D31,Trekkers!$A:$U,COLUMN(Trekkers!E$5),FALSE))</f>
        <v>4W</v>
      </c>
      <c r="H31" s="815" t="s">
        <v>133</v>
      </c>
      <c r="I31" s="398">
        <f>'Implemente &amp; Waens'!A$237</f>
        <v>237</v>
      </c>
      <c r="J31" s="400" t="str">
        <f>IF($I31=0,0,VLOOKUP($I31,'Implemente &amp; Waens'!$A:$Z,COLUMN('Implemente &amp; Waens'!C$5),FALSE))</f>
        <v>Strooier : Enkelskyf, 360L, maks 12m</v>
      </c>
      <c r="K31" s="969">
        <v>10</v>
      </c>
      <c r="L31" s="875">
        <v>10</v>
      </c>
      <c r="M31" s="876">
        <v>0.5</v>
      </c>
      <c r="N31" s="402">
        <f t="shared" si="1"/>
        <v>0.2</v>
      </c>
      <c r="O31" s="403">
        <f t="shared" si="37"/>
        <v>5</v>
      </c>
      <c r="P31" s="915">
        <f t="shared" si="30"/>
        <v>8.1750000000000007</v>
      </c>
      <c r="Q31" s="915">
        <f t="shared" si="31"/>
        <v>10.58</v>
      </c>
      <c r="R31" s="915">
        <f t="shared" si="32"/>
        <v>12.54</v>
      </c>
      <c r="S31" s="923">
        <f t="shared" si="33"/>
        <v>14.5</v>
      </c>
      <c r="T31" s="917">
        <f t="shared" si="34"/>
        <v>0.78750000000000009</v>
      </c>
      <c r="U31" s="919">
        <f t="shared" si="35"/>
        <v>9.6862500000000011</v>
      </c>
      <c r="V31" s="923">
        <f t="shared" si="36"/>
        <v>24.186250000000001</v>
      </c>
      <c r="X31" s="404">
        <f t="shared" si="3"/>
        <v>69.831250000000011</v>
      </c>
      <c r="Y31" s="405">
        <f t="shared" ref="Y31:Z56" si="80">BF31</f>
        <v>38.5</v>
      </c>
      <c r="Z31" s="406">
        <f t="shared" si="80"/>
        <v>108.33125000000001</v>
      </c>
      <c r="AA31" s="404">
        <f t="shared" si="5"/>
        <v>4.25</v>
      </c>
      <c r="AB31" s="405">
        <f t="shared" ref="AB31:AC56" si="81">BP31</f>
        <v>8.3500000000000014</v>
      </c>
      <c r="AC31" s="407">
        <f t="shared" si="81"/>
        <v>12.600000000000001</v>
      </c>
      <c r="AD31" s="408">
        <f t="shared" si="38"/>
        <v>72.5</v>
      </c>
      <c r="AE31" s="409">
        <f t="shared" si="8"/>
        <v>120.93125000000001</v>
      </c>
      <c r="AF31" s="410">
        <f t="shared" si="9"/>
        <v>0.2</v>
      </c>
      <c r="AG31" s="411">
        <f t="shared" si="39"/>
        <v>14.5</v>
      </c>
      <c r="AH31" s="412">
        <f t="shared" si="11"/>
        <v>24.186250000000001</v>
      </c>
      <c r="AJ31" s="730">
        <v>1</v>
      </c>
      <c r="AL31" s="413">
        <f t="shared" si="12"/>
        <v>0.78750000000000009</v>
      </c>
      <c r="AM31" s="414">
        <f t="shared" si="13"/>
        <v>9.6862500000000011</v>
      </c>
      <c r="AN31" s="414">
        <f t="shared" si="14"/>
        <v>5.1300000000000008</v>
      </c>
      <c r="AO31" s="414">
        <f t="shared" si="15"/>
        <v>0</v>
      </c>
      <c r="AP31" s="415">
        <f t="shared" si="16"/>
        <v>14.816250000000002</v>
      </c>
      <c r="AQ31" s="414">
        <f t="shared" si="17"/>
        <v>4.8100000000000005</v>
      </c>
      <c r="AR31" s="414">
        <f t="shared" si="18"/>
        <v>0.64000000000000012</v>
      </c>
      <c r="AS31" s="414">
        <f t="shared" si="19"/>
        <v>3.9200000000000004</v>
      </c>
      <c r="AT31" s="415">
        <f t="shared" si="20"/>
        <v>9.370000000000001</v>
      </c>
      <c r="AU31" s="416">
        <f t="shared" si="21"/>
        <v>24.186250000000001</v>
      </c>
      <c r="AV31" s="417"/>
      <c r="AW31" s="418">
        <f t="shared" si="22"/>
        <v>41</v>
      </c>
      <c r="AX31" s="413">
        <f>IF(D31="",0,E31*VLOOKUP(H31,Trekkers!$E$141:$L$143,COLUMNS(Trekkers!$E$141:$L$141),FALSE)*AJ31)</f>
        <v>3.9375</v>
      </c>
      <c r="AY31" s="414">
        <f t="shared" si="23"/>
        <v>48.431250000000006</v>
      </c>
      <c r="AZ31" s="414">
        <f>IF(D31="",0,VLOOKUP($D31,Trekkers!$A:$V,COLUMN(Trekkers!$K$5),FALSE))</f>
        <v>21.400000000000002</v>
      </c>
      <c r="BA31" s="414">
        <f>0</f>
        <v>0</v>
      </c>
      <c r="BB31" s="415">
        <f t="shared" si="24"/>
        <v>69.831250000000011</v>
      </c>
      <c r="BC31" s="414">
        <f>IF($D31="",0,VLOOKUP($D31,Trekkers!$A:$V,COLUMN(Trekkers!$G$5),FALSE)*$E$9/100)</f>
        <v>19.25</v>
      </c>
      <c r="BD31" s="414">
        <f>IF($D31="",0,VLOOKUP($D31,Trekkers!$A:$V,COLUMN(Trekkers!$H$5),FALSE))</f>
        <v>2.75</v>
      </c>
      <c r="BE31" s="414">
        <f>IF($D31="",0,VLOOKUP($D31,Trekkers!$A:$V,COLUMN(Trekkers!$I$5),FALSE)/$G$8*$E$8)</f>
        <v>16.5</v>
      </c>
      <c r="BF31" s="415">
        <f t="shared" si="25"/>
        <v>38.5</v>
      </c>
      <c r="BG31" s="416">
        <f t="shared" si="26"/>
        <v>108.33125000000001</v>
      </c>
      <c r="BH31" s="417"/>
      <c r="BI31" s="418">
        <f t="shared" si="0"/>
        <v>237</v>
      </c>
      <c r="BJ31" s="414">
        <f>IF($I31=0,0,VLOOKUP($I31,'Implemente &amp; Waens'!$A:$Z,COLUMN('Implemente &amp; Waens'!M$5),FALSE))</f>
        <v>4.25</v>
      </c>
      <c r="BK31" s="414">
        <f>IF($I31=0,0,VLOOKUP($I31,'Implemente &amp; Waens'!$A:$Z,COLUMN('Implemente &amp; Waens'!N$5),FALSE))</f>
        <v>0</v>
      </c>
      <c r="BL31" s="415">
        <f t="shared" si="27"/>
        <v>4.25</v>
      </c>
      <c r="BM31" s="414">
        <f>IF($I31=0,0,VLOOKUP($I31,'Implemente &amp; Waens'!$A:$Z,COLUMN('Implemente &amp; Waens'!I$5),FALSE)*$E$9/100)</f>
        <v>4.8000000000000007</v>
      </c>
      <c r="BN31" s="414">
        <f>IF($I31=0,0,VLOOKUP($I31,'Implemente &amp; Waens'!$A:$Z,COLUMN('Implemente &amp; Waens'!J$5),FALSE))</f>
        <v>0.45</v>
      </c>
      <c r="BO31" s="414">
        <f>IF($I31=0,0,VLOOKUP($I31,'Implemente &amp; Waens'!$A:$Z,COLUMN('Implemente &amp; Waens'!K$5),FALSE)/$G$8*$E$8)</f>
        <v>3.1</v>
      </c>
      <c r="BP31" s="415">
        <f t="shared" si="28"/>
        <v>8.3500000000000014</v>
      </c>
      <c r="BQ31" s="416">
        <f t="shared" si="29"/>
        <v>12.600000000000001</v>
      </c>
    </row>
    <row r="32" spans="2:69">
      <c r="B32" s="397"/>
      <c r="C32" s="731" t="s">
        <v>1258</v>
      </c>
      <c r="D32" s="398">
        <f>Trekkers!A41</f>
        <v>41</v>
      </c>
      <c r="E32" s="399">
        <f>IF($D32="",0,VLOOKUP($D32,Trekkers!$A:$U,COLUMN(Trekkers!C$5),FALSE))</f>
        <v>25</v>
      </c>
      <c r="F32" s="399">
        <f>IF($D32="",0,VLOOKUP($D32,Trekkers!$A:$U,COLUMN(Trekkers!D$5),FALSE))</f>
        <v>33.525552239875708</v>
      </c>
      <c r="G32" s="399" t="str">
        <f>IF($D32="",0,VLOOKUP($D32,Trekkers!$A:$U,COLUMN(Trekkers!E$5),FALSE))</f>
        <v>4W</v>
      </c>
      <c r="H32" s="815" t="s">
        <v>133</v>
      </c>
      <c r="I32" s="398">
        <f>'Implemente &amp; Waens'!A$346</f>
        <v>346</v>
      </c>
      <c r="J32" s="400" t="str">
        <f>IF($I32=0,0,VLOOKUP($I32,'Implemente &amp; Waens'!$A:$Z,COLUMN('Implemente &amp; Waens'!C$5),FALSE))</f>
        <v>Balkspuit : 400-800L, 7m, 3-punt</v>
      </c>
      <c r="K32" s="968">
        <v>7</v>
      </c>
      <c r="L32" s="762">
        <v>10</v>
      </c>
      <c r="M32" s="763">
        <v>0.5</v>
      </c>
      <c r="N32" s="402">
        <f t="shared" si="1"/>
        <v>0.2857142857142857</v>
      </c>
      <c r="O32" s="403">
        <f t="shared" si="37"/>
        <v>3.5</v>
      </c>
      <c r="P32" s="915">
        <f t="shared" si="30"/>
        <v>18.449999999999996</v>
      </c>
      <c r="Q32" s="915">
        <f t="shared" si="31"/>
        <v>23.785714285714281</v>
      </c>
      <c r="R32" s="915">
        <f t="shared" si="32"/>
        <v>27.799999999999997</v>
      </c>
      <c r="S32" s="923">
        <f t="shared" si="33"/>
        <v>31.81428571428571</v>
      </c>
      <c r="T32" s="917">
        <f t="shared" si="34"/>
        <v>1.125</v>
      </c>
      <c r="U32" s="919">
        <f t="shared" si="35"/>
        <v>13.8375</v>
      </c>
      <c r="V32" s="923">
        <f t="shared" si="36"/>
        <v>45.651785714285708</v>
      </c>
      <c r="X32" s="404">
        <f t="shared" si="3"/>
        <v>69.831250000000011</v>
      </c>
      <c r="Y32" s="405">
        <f t="shared" si="80"/>
        <v>38.5</v>
      </c>
      <c r="Z32" s="406">
        <f t="shared" si="80"/>
        <v>108.33125000000001</v>
      </c>
      <c r="AA32" s="404">
        <f t="shared" si="5"/>
        <v>20.100000000000001</v>
      </c>
      <c r="AB32" s="405">
        <f t="shared" si="81"/>
        <v>31.35</v>
      </c>
      <c r="AC32" s="407">
        <f t="shared" si="81"/>
        <v>51.45</v>
      </c>
      <c r="AD32" s="408">
        <f t="shared" si="38"/>
        <v>111.35</v>
      </c>
      <c r="AE32" s="409">
        <f t="shared" si="8"/>
        <v>159.78125</v>
      </c>
      <c r="AF32" s="410">
        <f t="shared" si="9"/>
        <v>0.2857142857142857</v>
      </c>
      <c r="AG32" s="411">
        <f t="shared" si="39"/>
        <v>31.81428571428571</v>
      </c>
      <c r="AH32" s="412">
        <f t="shared" si="11"/>
        <v>45.651785714285708</v>
      </c>
      <c r="AJ32" s="730">
        <v>1</v>
      </c>
      <c r="AL32" s="413">
        <f t="shared" si="12"/>
        <v>1.125</v>
      </c>
      <c r="AM32" s="414">
        <f t="shared" si="13"/>
        <v>13.8375</v>
      </c>
      <c r="AN32" s="414">
        <f t="shared" si="14"/>
        <v>11.857142857142856</v>
      </c>
      <c r="AO32" s="414">
        <f t="shared" si="15"/>
        <v>0</v>
      </c>
      <c r="AP32" s="415">
        <f t="shared" si="16"/>
        <v>25.694642857142856</v>
      </c>
      <c r="AQ32" s="414">
        <f t="shared" si="17"/>
        <v>10.671428571428571</v>
      </c>
      <c r="AR32" s="414">
        <f t="shared" si="18"/>
        <v>1.2571428571428571</v>
      </c>
      <c r="AS32" s="414">
        <f t="shared" si="19"/>
        <v>8.0285714285714285</v>
      </c>
      <c r="AT32" s="415">
        <f t="shared" si="20"/>
        <v>19.957142857142856</v>
      </c>
      <c r="AU32" s="416">
        <f t="shared" si="21"/>
        <v>45.651785714285708</v>
      </c>
      <c r="AV32" s="417"/>
      <c r="AW32" s="418">
        <f t="shared" si="22"/>
        <v>41</v>
      </c>
      <c r="AX32" s="413">
        <f>IF(D32="",0,E32*VLOOKUP(H32,Trekkers!$E$141:$L$143,COLUMNS(Trekkers!$E$141:$L$141),FALSE)*AJ32)</f>
        <v>3.9375</v>
      </c>
      <c r="AY32" s="414">
        <f t="shared" si="23"/>
        <v>48.431250000000006</v>
      </c>
      <c r="AZ32" s="414">
        <f>IF(D32="",0,VLOOKUP($D32,Trekkers!$A:$V,COLUMN(Trekkers!$K$5),FALSE))</f>
        <v>21.400000000000002</v>
      </c>
      <c r="BA32" s="414">
        <f>0</f>
        <v>0</v>
      </c>
      <c r="BB32" s="415">
        <f t="shared" si="24"/>
        <v>69.831250000000011</v>
      </c>
      <c r="BC32" s="414">
        <f>IF($D32="",0,VLOOKUP($D32,Trekkers!$A:$V,COLUMN(Trekkers!$G$5),FALSE)*$E$9/100)</f>
        <v>19.25</v>
      </c>
      <c r="BD32" s="414">
        <f>IF($D32="",0,VLOOKUP($D32,Trekkers!$A:$V,COLUMN(Trekkers!$H$5),FALSE))</f>
        <v>2.75</v>
      </c>
      <c r="BE32" s="414">
        <f>IF($D32="",0,VLOOKUP($D32,Trekkers!$A:$V,COLUMN(Trekkers!$I$5),FALSE)/$G$8*$E$8)</f>
        <v>16.5</v>
      </c>
      <c r="BF32" s="415">
        <f t="shared" si="25"/>
        <v>38.5</v>
      </c>
      <c r="BG32" s="416">
        <f t="shared" si="26"/>
        <v>108.33125000000001</v>
      </c>
      <c r="BH32" s="417"/>
      <c r="BI32" s="418">
        <f t="shared" si="0"/>
        <v>346</v>
      </c>
      <c r="BJ32" s="414">
        <f>IF($I32=0,0,VLOOKUP($I32,'Implemente &amp; Waens'!$A:$Z,COLUMN('Implemente &amp; Waens'!M$5),FALSE))</f>
        <v>20.100000000000001</v>
      </c>
      <c r="BK32" s="414">
        <f>IF($I32=0,0,VLOOKUP($I32,'Implemente &amp; Waens'!$A:$Z,COLUMN('Implemente &amp; Waens'!N$5),FALSE))</f>
        <v>0</v>
      </c>
      <c r="BL32" s="415">
        <f t="shared" si="27"/>
        <v>20.100000000000001</v>
      </c>
      <c r="BM32" s="414">
        <f>IF($I32=0,0,VLOOKUP($I32,'Implemente &amp; Waens'!$A:$Z,COLUMN('Implemente &amp; Waens'!I$5),FALSE)*$E$9/100)</f>
        <v>18.100000000000001</v>
      </c>
      <c r="BN32" s="414">
        <f>IF($I32=0,0,VLOOKUP($I32,'Implemente &amp; Waens'!$A:$Z,COLUMN('Implemente &amp; Waens'!J$5),FALSE))</f>
        <v>1.6500000000000001</v>
      </c>
      <c r="BO32" s="414">
        <f>IF($I32=0,0,VLOOKUP($I32,'Implemente &amp; Waens'!$A:$Z,COLUMN('Implemente &amp; Waens'!K$5),FALSE)/$G$8*$E$8)</f>
        <v>11.600000000000001</v>
      </c>
      <c r="BP32" s="415">
        <f t="shared" si="28"/>
        <v>31.35</v>
      </c>
      <c r="BQ32" s="416">
        <f t="shared" si="29"/>
        <v>51.45</v>
      </c>
    </row>
    <row r="33" spans="2:69">
      <c r="B33" s="397"/>
      <c r="C33" s="731" t="s">
        <v>1259</v>
      </c>
      <c r="D33" s="398">
        <f>Trekkers!A59</f>
        <v>59</v>
      </c>
      <c r="E33" s="399">
        <f>IF($D33="",0,VLOOKUP($D33,Trekkers!$A:$U,COLUMN(Trekkers!C$5),FALSE))</f>
        <v>115</v>
      </c>
      <c r="F33" s="399">
        <f>IF($D33="",0,VLOOKUP($D33,Trekkers!$A:$U,COLUMN(Trekkers!D$5),FALSE))</f>
        <v>154.21754030342825</v>
      </c>
      <c r="G33" s="399" t="str">
        <f>IF($D33="",0,VLOOKUP($D33,Trekkers!$A:$U,COLUMN(Trekkers!E$5),FALSE))</f>
        <v>4W</v>
      </c>
      <c r="H33" s="815" t="s">
        <v>132</v>
      </c>
      <c r="I33" s="398">
        <f>'Implemente &amp; Waens'!A$283</f>
        <v>283</v>
      </c>
      <c r="J33" s="400" t="str">
        <f>IF($I33=0,0,VLOOKUP($I33,'Implemente &amp; Waens'!$A:$Z,COLUMN('Implemente &amp; Waens'!C$5),FALSE))</f>
        <v>Gravitasie Planter : 15tand x 275mm, 4.13m</v>
      </c>
      <c r="K33" s="968">
        <v>4.13</v>
      </c>
      <c r="L33" s="762">
        <v>6</v>
      </c>
      <c r="M33" s="763">
        <v>0.7</v>
      </c>
      <c r="N33" s="402">
        <f t="shared" si="1"/>
        <v>0.57650178715554024</v>
      </c>
      <c r="O33" s="403">
        <f t="shared" si="37"/>
        <v>1.7345999999999999</v>
      </c>
      <c r="P33" s="915">
        <f t="shared" si="30"/>
        <v>325.1037703216881</v>
      </c>
      <c r="Q33" s="915">
        <f t="shared" si="31"/>
        <v>427.64902571197979</v>
      </c>
      <c r="R33" s="915">
        <f t="shared" si="32"/>
        <v>501.84480571889782</v>
      </c>
      <c r="S33" s="923">
        <f t="shared" si="33"/>
        <v>576.04058572581584</v>
      </c>
      <c r="T33" s="917">
        <f t="shared" si="34"/>
        <v>11.933586994119683</v>
      </c>
      <c r="U33" s="919">
        <f t="shared" si="35"/>
        <v>146.78312002767211</v>
      </c>
      <c r="V33" s="923">
        <f t="shared" si="36"/>
        <v>722.82370575348796</v>
      </c>
      <c r="X33" s="404">
        <f t="shared" si="3"/>
        <v>406.11</v>
      </c>
      <c r="Y33" s="405">
        <f t="shared" si="80"/>
        <v>272.45000000000005</v>
      </c>
      <c r="Z33" s="406">
        <f t="shared" si="80"/>
        <v>678.56000000000006</v>
      </c>
      <c r="AA33" s="404">
        <f t="shared" si="5"/>
        <v>195</v>
      </c>
      <c r="AB33" s="405">
        <f t="shared" si="81"/>
        <v>380.25</v>
      </c>
      <c r="AC33" s="407">
        <f t="shared" si="81"/>
        <v>575.25</v>
      </c>
      <c r="AD33" s="408">
        <f t="shared" si="38"/>
        <v>999.19999999999993</v>
      </c>
      <c r="AE33" s="409">
        <f t="shared" si="8"/>
        <v>1253.81</v>
      </c>
      <c r="AF33" s="410">
        <f t="shared" si="9"/>
        <v>0.57650178715554024</v>
      </c>
      <c r="AG33" s="411">
        <f t="shared" si="39"/>
        <v>576.04058572581584</v>
      </c>
      <c r="AH33" s="412">
        <f t="shared" si="11"/>
        <v>722.82370575348796</v>
      </c>
      <c r="AJ33" s="730">
        <v>1</v>
      </c>
      <c r="AL33" s="413">
        <f t="shared" si="12"/>
        <v>11.933586994119683</v>
      </c>
      <c r="AM33" s="414">
        <f t="shared" si="13"/>
        <v>146.78312002767211</v>
      </c>
      <c r="AN33" s="414">
        <f t="shared" si="14"/>
        <v>199.7578692493947</v>
      </c>
      <c r="AO33" s="414">
        <f t="shared" si="15"/>
        <v>0</v>
      </c>
      <c r="AP33" s="415">
        <f t="shared" si="16"/>
        <v>346.54098927706684</v>
      </c>
      <c r="AQ33" s="414">
        <f t="shared" si="17"/>
        <v>205.09051078058343</v>
      </c>
      <c r="AR33" s="414">
        <f t="shared" si="18"/>
        <v>22.800645682001619</v>
      </c>
      <c r="AS33" s="414">
        <f t="shared" si="19"/>
        <v>148.39156001383608</v>
      </c>
      <c r="AT33" s="415">
        <f t="shared" si="20"/>
        <v>376.28271647642111</v>
      </c>
      <c r="AU33" s="416">
        <f t="shared" si="21"/>
        <v>722.82370575348796</v>
      </c>
      <c r="AV33" s="417"/>
      <c r="AW33" s="418">
        <f t="shared" si="22"/>
        <v>59</v>
      </c>
      <c r="AX33" s="413">
        <f>IF(D33="",0,E33*VLOOKUP(H33,Trekkers!$E$141:$L$143,COLUMNS(Trekkers!$E$141:$L$141),FALSE)*AJ33)</f>
        <v>20.7</v>
      </c>
      <c r="AY33" s="414">
        <f t="shared" si="23"/>
        <v>254.61</v>
      </c>
      <c r="AZ33" s="414">
        <f>IF(D33="",0,VLOOKUP($D33,Trekkers!$A:$V,COLUMN(Trekkers!$K$5),FALSE))</f>
        <v>151.5</v>
      </c>
      <c r="BA33" s="414">
        <f>0</f>
        <v>0</v>
      </c>
      <c r="BB33" s="415">
        <f t="shared" si="24"/>
        <v>406.11</v>
      </c>
      <c r="BC33" s="414">
        <f>IF($D33="",0,VLOOKUP($D33,Trekkers!$A:$V,COLUMN(Trekkers!$G$5),FALSE)*$E$9/100)</f>
        <v>136.35</v>
      </c>
      <c r="BD33" s="414">
        <f>IF($D33="",0,VLOOKUP($D33,Trekkers!$A:$V,COLUMN(Trekkers!$H$5),FALSE))</f>
        <v>19.450000000000003</v>
      </c>
      <c r="BE33" s="414">
        <f>IF($D33="",0,VLOOKUP($D33,Trekkers!$A:$V,COLUMN(Trekkers!$I$5),FALSE)/$G$8*$E$8)</f>
        <v>116.65000000000002</v>
      </c>
      <c r="BF33" s="415">
        <f t="shared" si="25"/>
        <v>272.45000000000005</v>
      </c>
      <c r="BG33" s="416">
        <f t="shared" si="26"/>
        <v>678.56000000000006</v>
      </c>
      <c r="BH33" s="417"/>
      <c r="BI33" s="418">
        <f t="shared" si="0"/>
        <v>283</v>
      </c>
      <c r="BJ33" s="414">
        <f>IF($I33=0,0,VLOOKUP($I33,'Implemente &amp; Waens'!$A:$Z,COLUMN('Implemente &amp; Waens'!M$5),FALSE))</f>
        <v>195</v>
      </c>
      <c r="BK33" s="414">
        <f>IF($I33=0,0,VLOOKUP($I33,'Implemente &amp; Waens'!$A:$Z,COLUMN('Implemente &amp; Waens'!N$5),FALSE))</f>
        <v>0</v>
      </c>
      <c r="BL33" s="415">
        <f t="shared" si="27"/>
        <v>195</v>
      </c>
      <c r="BM33" s="414">
        <f>IF($I33=0,0,VLOOKUP($I33,'Implemente &amp; Waens'!$A:$Z,COLUMN('Implemente &amp; Waens'!I$5),FALSE)*$E$9/100)</f>
        <v>219.4</v>
      </c>
      <c r="BN33" s="414">
        <f>IF($I33=0,0,VLOOKUP($I33,'Implemente &amp; Waens'!$A:$Z,COLUMN('Implemente &amp; Waens'!J$5),FALSE))</f>
        <v>20.100000000000001</v>
      </c>
      <c r="BO33" s="414">
        <f>IF($I33=0,0,VLOOKUP($I33,'Implemente &amp; Waens'!$A:$Z,COLUMN('Implemente &amp; Waens'!K$5),FALSE)/$G$8*$E$8)</f>
        <v>140.75</v>
      </c>
      <c r="BP33" s="415">
        <f t="shared" si="28"/>
        <v>380.25</v>
      </c>
      <c r="BQ33" s="416">
        <f t="shared" si="29"/>
        <v>575.25</v>
      </c>
    </row>
    <row r="34" spans="2:69">
      <c r="B34" s="397"/>
      <c r="C34" s="731" t="s">
        <v>1260</v>
      </c>
      <c r="D34" s="398">
        <f>Trekkers!A59</f>
        <v>59</v>
      </c>
      <c r="E34" s="399">
        <f>IF($D34="",0,VLOOKUP($D34,Trekkers!$A:$U,COLUMN(Trekkers!C$5),FALSE))</f>
        <v>115</v>
      </c>
      <c r="F34" s="399">
        <f>IF($D34="",0,VLOOKUP($D34,Trekkers!$A:$U,COLUMN(Trekkers!D$5),FALSE))</f>
        <v>154.21754030342825</v>
      </c>
      <c r="G34" s="399" t="str">
        <f>IF($D34="",0,VLOOKUP($D34,Trekkers!$A:$U,COLUMN(Trekkers!E$5),FALSE))</f>
        <v>4W</v>
      </c>
      <c r="H34" s="815" t="s">
        <v>132</v>
      </c>
      <c r="I34" s="398">
        <f>'Implemente &amp; Waens'!A$283</f>
        <v>283</v>
      </c>
      <c r="J34" s="400" t="str">
        <f>IF($I34=0,0,VLOOKUP($I34,'Implemente &amp; Waens'!$A:$Z,COLUMN('Implemente &amp; Waens'!C$5),FALSE))</f>
        <v>Gravitasie Planter : 15tand x 275mm, 4.13m</v>
      </c>
      <c r="K34" s="968">
        <f>15*0.25</f>
        <v>3.75</v>
      </c>
      <c r="L34" s="875">
        <v>10</v>
      </c>
      <c r="M34" s="876">
        <v>0.7</v>
      </c>
      <c r="N34" s="402">
        <f t="shared" si="1"/>
        <v>0.38095238095238093</v>
      </c>
      <c r="O34" s="403">
        <f t="shared" si="37"/>
        <v>2.625</v>
      </c>
      <c r="P34" s="915">
        <f t="shared" si="30"/>
        <v>214.82857142857142</v>
      </c>
      <c r="Q34" s="915">
        <f t="shared" si="31"/>
        <v>282.59047619047618</v>
      </c>
      <c r="R34" s="915">
        <f t="shared" si="32"/>
        <v>331.61904761904765</v>
      </c>
      <c r="S34" s="923">
        <f t="shared" si="33"/>
        <v>380.64761904761906</v>
      </c>
      <c r="T34" s="917">
        <f t="shared" si="34"/>
        <v>7.8857142857142852</v>
      </c>
      <c r="U34" s="919">
        <f t="shared" si="35"/>
        <v>96.994285714285709</v>
      </c>
      <c r="V34" s="923">
        <f t="shared" si="36"/>
        <v>477.64190476190475</v>
      </c>
      <c r="X34" s="404">
        <f t="shared" si="3"/>
        <v>406.11</v>
      </c>
      <c r="Y34" s="405">
        <f t="shared" si="80"/>
        <v>272.45000000000005</v>
      </c>
      <c r="Z34" s="406">
        <f t="shared" si="80"/>
        <v>678.56000000000006</v>
      </c>
      <c r="AA34" s="404">
        <f t="shared" si="5"/>
        <v>195</v>
      </c>
      <c r="AB34" s="405">
        <f t="shared" si="81"/>
        <v>380.25</v>
      </c>
      <c r="AC34" s="407">
        <f t="shared" si="81"/>
        <v>575.25</v>
      </c>
      <c r="AD34" s="408">
        <f t="shared" si="38"/>
        <v>999.19999999999993</v>
      </c>
      <c r="AE34" s="409">
        <f t="shared" si="8"/>
        <v>1253.81</v>
      </c>
      <c r="AF34" s="410">
        <f t="shared" si="9"/>
        <v>0.38095238095238093</v>
      </c>
      <c r="AG34" s="411">
        <f t="shared" si="39"/>
        <v>380.64761904761906</v>
      </c>
      <c r="AH34" s="412">
        <f t="shared" si="11"/>
        <v>477.64190476190475</v>
      </c>
      <c r="AJ34" s="730">
        <v>1</v>
      </c>
      <c r="AL34" s="413">
        <f t="shared" si="12"/>
        <v>7.8857142857142852</v>
      </c>
      <c r="AM34" s="414">
        <f t="shared" si="13"/>
        <v>96.994285714285709</v>
      </c>
      <c r="AN34" s="414">
        <f t="shared" si="14"/>
        <v>132</v>
      </c>
      <c r="AO34" s="414">
        <f t="shared" si="15"/>
        <v>0</v>
      </c>
      <c r="AP34" s="415">
        <f t="shared" si="16"/>
        <v>228.9942857142857</v>
      </c>
      <c r="AQ34" s="414">
        <f t="shared" si="17"/>
        <v>135.52380952380952</v>
      </c>
      <c r="AR34" s="414">
        <f t="shared" si="18"/>
        <v>15.066666666666668</v>
      </c>
      <c r="AS34" s="414">
        <f t="shared" si="19"/>
        <v>98.057142857142864</v>
      </c>
      <c r="AT34" s="415">
        <f t="shared" si="20"/>
        <v>248.64761904761906</v>
      </c>
      <c r="AU34" s="416">
        <f t="shared" si="21"/>
        <v>477.64190476190475</v>
      </c>
      <c r="AV34" s="417"/>
      <c r="AW34" s="418">
        <f t="shared" si="22"/>
        <v>59</v>
      </c>
      <c r="AX34" s="413">
        <f>IF(D34="",0,E34*VLOOKUP(H34,Trekkers!$E$141:$L$143,COLUMNS(Trekkers!$E$141:$L$141),FALSE)*AJ34)</f>
        <v>20.7</v>
      </c>
      <c r="AY34" s="414">
        <f t="shared" si="23"/>
        <v>254.61</v>
      </c>
      <c r="AZ34" s="414">
        <f>IF(D34="",0,VLOOKUP($D34,Trekkers!$A:$V,COLUMN(Trekkers!$K$5),FALSE))</f>
        <v>151.5</v>
      </c>
      <c r="BA34" s="414">
        <f>0</f>
        <v>0</v>
      </c>
      <c r="BB34" s="415">
        <f t="shared" si="24"/>
        <v>406.11</v>
      </c>
      <c r="BC34" s="414">
        <f>IF($D34="",0,VLOOKUP($D34,Trekkers!$A:$V,COLUMN(Trekkers!$G$5),FALSE)*$E$9/100)</f>
        <v>136.35</v>
      </c>
      <c r="BD34" s="414">
        <f>IF($D34="",0,VLOOKUP($D34,Trekkers!$A:$V,COLUMN(Trekkers!$H$5),FALSE))</f>
        <v>19.450000000000003</v>
      </c>
      <c r="BE34" s="414">
        <f>IF($D34="",0,VLOOKUP($D34,Trekkers!$A:$V,COLUMN(Trekkers!$I$5),FALSE)/$G$8*$E$8)</f>
        <v>116.65000000000002</v>
      </c>
      <c r="BF34" s="415">
        <f t="shared" si="25"/>
        <v>272.45000000000005</v>
      </c>
      <c r="BG34" s="416">
        <f t="shared" si="26"/>
        <v>678.56000000000006</v>
      </c>
      <c r="BH34" s="417"/>
      <c r="BI34" s="418">
        <f t="shared" si="0"/>
        <v>283</v>
      </c>
      <c r="BJ34" s="414">
        <f>IF($I34=0,0,VLOOKUP($I34,'Implemente &amp; Waens'!$A:$Z,COLUMN('Implemente &amp; Waens'!M$5),FALSE))</f>
        <v>195</v>
      </c>
      <c r="BK34" s="414">
        <f>IF($I34=0,0,VLOOKUP($I34,'Implemente &amp; Waens'!$A:$Z,COLUMN('Implemente &amp; Waens'!N$5),FALSE))</f>
        <v>0</v>
      </c>
      <c r="BL34" s="415">
        <f t="shared" si="27"/>
        <v>195</v>
      </c>
      <c r="BM34" s="414">
        <f>IF($I34=0,0,VLOOKUP($I34,'Implemente &amp; Waens'!$A:$Z,COLUMN('Implemente &amp; Waens'!I$5),FALSE)*$E$9/100)</f>
        <v>219.4</v>
      </c>
      <c r="BN34" s="414">
        <f>IF($I34=0,0,VLOOKUP($I34,'Implemente &amp; Waens'!$A:$Z,COLUMN('Implemente &amp; Waens'!J$5),FALSE))</f>
        <v>20.100000000000001</v>
      </c>
      <c r="BO34" s="414">
        <f>IF($I34=0,0,VLOOKUP($I34,'Implemente &amp; Waens'!$A:$Z,COLUMN('Implemente &amp; Waens'!K$5),FALSE)/$G$8*$E$8)</f>
        <v>140.75</v>
      </c>
      <c r="BP34" s="415">
        <f t="shared" si="28"/>
        <v>380.25</v>
      </c>
      <c r="BQ34" s="416">
        <f t="shared" si="29"/>
        <v>575.25</v>
      </c>
    </row>
    <row r="35" spans="2:69">
      <c r="B35" s="397"/>
      <c r="C35" s="731" t="s">
        <v>1261</v>
      </c>
      <c r="D35" s="398">
        <f>Trekkers!A66</f>
        <v>66</v>
      </c>
      <c r="E35" s="399">
        <f>IF($D35="",0,VLOOKUP($D35,Trekkers!$A:$U,COLUMN(Trekkers!C$5),FALSE))</f>
        <v>150</v>
      </c>
      <c r="F35" s="399">
        <f>IF($D35="",0,VLOOKUP($D35,Trekkers!$A:$U,COLUMN(Trekkers!D$5),FALSE))</f>
        <v>201.15331343925422</v>
      </c>
      <c r="G35" s="399" t="str">
        <f>IF($D35="",0,VLOOKUP($D35,Trekkers!$A:$U,COLUMN(Trekkers!E$5),FALSE))</f>
        <v>4W</v>
      </c>
      <c r="H35" s="815" t="s">
        <v>132</v>
      </c>
      <c r="I35" s="398">
        <f>'Implemente &amp; Waens'!A$296</f>
        <v>296</v>
      </c>
      <c r="J35" s="400" t="str">
        <f>IF($I35=0,0,VLOOKUP($I35,'Implemente &amp; Waens'!$A:$Z,COLUMN('Implemente &amp; Waens'!C$5),FALSE))</f>
        <v>Lugdruk Planter : 23t x 285mm, 6.5m</v>
      </c>
      <c r="K35" s="968">
        <v>6.5</v>
      </c>
      <c r="L35" s="762">
        <v>6.5</v>
      </c>
      <c r="M35" s="763">
        <v>0.73</v>
      </c>
      <c r="N35" s="402">
        <f t="shared" si="1"/>
        <v>0.32422793223636215</v>
      </c>
      <c r="O35" s="403">
        <f t="shared" si="37"/>
        <v>3.0842499999999999</v>
      </c>
      <c r="P35" s="915">
        <f t="shared" si="30"/>
        <v>375.46405122801337</v>
      </c>
      <c r="Q35" s="915">
        <f t="shared" si="31"/>
        <v>496.40917565048238</v>
      </c>
      <c r="R35" s="915">
        <f t="shared" si="32"/>
        <v>580.79760071330156</v>
      </c>
      <c r="S35" s="923">
        <f t="shared" si="33"/>
        <v>665.18602577612069</v>
      </c>
      <c r="T35" s="917">
        <f t="shared" si="34"/>
        <v>8.7541541703817778</v>
      </c>
      <c r="U35" s="919">
        <f t="shared" si="35"/>
        <v>107.67609629569587</v>
      </c>
      <c r="V35" s="923">
        <f t="shared" si="36"/>
        <v>772.86212207181654</v>
      </c>
      <c r="X35" s="404">
        <f t="shared" si="3"/>
        <v>549.45000000000005</v>
      </c>
      <c r="Y35" s="405">
        <f t="shared" si="80"/>
        <v>390.85</v>
      </c>
      <c r="Z35" s="406">
        <f t="shared" si="80"/>
        <v>940.30000000000007</v>
      </c>
      <c r="AA35" s="404">
        <f t="shared" si="5"/>
        <v>489.3</v>
      </c>
      <c r="AB35" s="405">
        <f t="shared" si="81"/>
        <v>954.10000000000014</v>
      </c>
      <c r="AC35" s="407">
        <f t="shared" si="81"/>
        <v>1443.4</v>
      </c>
      <c r="AD35" s="408">
        <f t="shared" si="38"/>
        <v>2051.6000000000004</v>
      </c>
      <c r="AE35" s="409">
        <f t="shared" si="8"/>
        <v>2383.7000000000003</v>
      </c>
      <c r="AF35" s="410">
        <f t="shared" si="9"/>
        <v>0.32422793223636215</v>
      </c>
      <c r="AG35" s="411">
        <f t="shared" si="39"/>
        <v>665.18602577612069</v>
      </c>
      <c r="AH35" s="412">
        <f t="shared" si="11"/>
        <v>772.86212207181654</v>
      </c>
      <c r="AJ35" s="730">
        <v>1</v>
      </c>
      <c r="AL35" s="413">
        <f t="shared" si="12"/>
        <v>8.7541541703817778</v>
      </c>
      <c r="AM35" s="414">
        <f t="shared" si="13"/>
        <v>107.67609629569587</v>
      </c>
      <c r="AN35" s="414">
        <f t="shared" si="14"/>
        <v>229.11566831482534</v>
      </c>
      <c r="AO35" s="414">
        <f t="shared" si="15"/>
        <v>0</v>
      </c>
      <c r="AP35" s="415">
        <f t="shared" si="16"/>
        <v>336.79176461052123</v>
      </c>
      <c r="AQ35" s="414">
        <f t="shared" si="17"/>
        <v>241.89024884493801</v>
      </c>
      <c r="AR35" s="414">
        <f t="shared" si="18"/>
        <v>25.403258490718976</v>
      </c>
      <c r="AS35" s="414">
        <f t="shared" si="19"/>
        <v>168.7768501256383</v>
      </c>
      <c r="AT35" s="415">
        <f t="shared" si="20"/>
        <v>436.07035746129532</v>
      </c>
      <c r="AU35" s="416">
        <f t="shared" si="21"/>
        <v>772.86212207181654</v>
      </c>
      <c r="AV35" s="417"/>
      <c r="AW35" s="418">
        <f t="shared" si="22"/>
        <v>66</v>
      </c>
      <c r="AX35" s="413">
        <f>IF(D35="",0,E35*VLOOKUP(H35,Trekkers!$E$141:$L$143,COLUMNS(Trekkers!$E$141:$L$141),FALSE)*AJ35)</f>
        <v>27</v>
      </c>
      <c r="AY35" s="414">
        <f t="shared" si="23"/>
        <v>332.1</v>
      </c>
      <c r="AZ35" s="414">
        <f>IF(D35="",0,VLOOKUP($D35,Trekkers!$A:$V,COLUMN(Trekkers!$K$5),FALSE))</f>
        <v>217.35000000000002</v>
      </c>
      <c r="BA35" s="414">
        <f>0</f>
        <v>0</v>
      </c>
      <c r="BB35" s="415">
        <f t="shared" si="24"/>
        <v>549.45000000000005</v>
      </c>
      <c r="BC35" s="414">
        <f>IF($D35="",0,VLOOKUP($D35,Trekkers!$A:$V,COLUMN(Trekkers!$G$5),FALSE)*$E$9/100)</f>
        <v>195.60000000000002</v>
      </c>
      <c r="BD35" s="414">
        <f>IF($D35="",0,VLOOKUP($D35,Trekkers!$A:$V,COLUMN(Trekkers!$H$5),FALSE))</f>
        <v>27.900000000000002</v>
      </c>
      <c r="BE35" s="414">
        <f>IF($D35="",0,VLOOKUP($D35,Trekkers!$A:$V,COLUMN(Trekkers!$I$5),FALSE)/$G$8*$E$8)</f>
        <v>167.35000000000002</v>
      </c>
      <c r="BF35" s="415">
        <f t="shared" si="25"/>
        <v>390.85</v>
      </c>
      <c r="BG35" s="416">
        <f t="shared" si="26"/>
        <v>940.30000000000007</v>
      </c>
      <c r="BH35" s="417"/>
      <c r="BI35" s="418">
        <f t="shared" si="0"/>
        <v>296</v>
      </c>
      <c r="BJ35" s="414">
        <f>IF($I35=0,0,VLOOKUP($I35,'Implemente &amp; Waens'!$A:$Z,COLUMN('Implemente &amp; Waens'!M$5),FALSE))</f>
        <v>489.3</v>
      </c>
      <c r="BK35" s="414">
        <f>IF($I35=0,0,VLOOKUP($I35,'Implemente &amp; Waens'!$A:$Z,COLUMN('Implemente &amp; Waens'!N$5),FALSE))</f>
        <v>0</v>
      </c>
      <c r="BL35" s="415">
        <f t="shared" si="27"/>
        <v>489.3</v>
      </c>
      <c r="BM35" s="414">
        <f>IF($I35=0,0,VLOOKUP($I35,'Implemente &amp; Waens'!$A:$Z,COLUMN('Implemente &amp; Waens'!I$5),FALSE)*$E$9/100)</f>
        <v>550.45000000000005</v>
      </c>
      <c r="BN35" s="414">
        <f>IF($I35=0,0,VLOOKUP($I35,'Implemente &amp; Waens'!$A:$Z,COLUMN('Implemente &amp; Waens'!J$5),FALSE))</f>
        <v>50.45</v>
      </c>
      <c r="BO35" s="414">
        <f>IF($I35=0,0,VLOOKUP($I35,'Implemente &amp; Waens'!$A:$Z,COLUMN('Implemente &amp; Waens'!K$5),FALSE)/$G$8*$E$8)</f>
        <v>353.2</v>
      </c>
      <c r="BP35" s="415">
        <f t="shared" si="28"/>
        <v>954.10000000000014</v>
      </c>
      <c r="BQ35" s="416">
        <f t="shared" si="29"/>
        <v>1443.4</v>
      </c>
    </row>
    <row r="36" spans="2:69">
      <c r="B36" s="397"/>
      <c r="C36" s="731" t="s">
        <v>1262</v>
      </c>
      <c r="D36" s="398">
        <f>Trekkers!A66</f>
        <v>66</v>
      </c>
      <c r="E36" s="399">
        <f>IF($D36="",0,VLOOKUP($D36,Trekkers!$A:$U,COLUMN(Trekkers!C$5),FALSE))</f>
        <v>150</v>
      </c>
      <c r="F36" s="399">
        <f>IF($D36="",0,VLOOKUP($D36,Trekkers!$A:$U,COLUMN(Trekkers!D$5),FALSE))</f>
        <v>201.15331343925422</v>
      </c>
      <c r="G36" s="399" t="str">
        <f>IF($D36="",0,VLOOKUP($D36,Trekkers!$A:$U,COLUMN(Trekkers!E$5),FALSE))</f>
        <v>4W</v>
      </c>
      <c r="H36" s="815" t="s">
        <v>132</v>
      </c>
      <c r="I36" s="398">
        <f>'Implemente &amp; Waens'!A$296</f>
        <v>296</v>
      </c>
      <c r="J36" s="400" t="str">
        <f>IF($I36=0,0,VLOOKUP($I36,'Implemente &amp; Waens'!$A:$Z,COLUMN('Implemente &amp; Waens'!C$5),FALSE))</f>
        <v>Lugdruk Planter : 23t x 285mm, 6.5m</v>
      </c>
      <c r="K36" s="968">
        <f>23*0.25</f>
        <v>5.75</v>
      </c>
      <c r="L36" s="762">
        <v>10</v>
      </c>
      <c r="M36" s="763">
        <v>0.73</v>
      </c>
      <c r="N36" s="402">
        <f t="shared" si="1"/>
        <v>0.23823704586063132</v>
      </c>
      <c r="O36" s="403">
        <f t="shared" si="37"/>
        <v>4.1974999999999998</v>
      </c>
      <c r="P36" s="915">
        <f t="shared" si="30"/>
        <v>275.88445503275767</v>
      </c>
      <c r="Q36" s="915">
        <f t="shared" si="31"/>
        <v>364.75282906491969</v>
      </c>
      <c r="R36" s="915">
        <f t="shared" si="32"/>
        <v>426.75997617629548</v>
      </c>
      <c r="S36" s="923">
        <f t="shared" si="33"/>
        <v>488.76712328767132</v>
      </c>
      <c r="T36" s="917">
        <f t="shared" si="34"/>
        <v>6.4324002382370455</v>
      </c>
      <c r="U36" s="919">
        <f t="shared" si="35"/>
        <v>79.118522930315663</v>
      </c>
      <c r="V36" s="923">
        <f t="shared" si="36"/>
        <v>567.88564621798696</v>
      </c>
      <c r="X36" s="404">
        <f t="shared" si="3"/>
        <v>549.45000000000005</v>
      </c>
      <c r="Y36" s="405">
        <f t="shared" si="80"/>
        <v>390.85</v>
      </c>
      <c r="Z36" s="406">
        <f t="shared" si="80"/>
        <v>940.30000000000007</v>
      </c>
      <c r="AA36" s="404">
        <f t="shared" si="5"/>
        <v>489.3</v>
      </c>
      <c r="AB36" s="405">
        <f t="shared" si="81"/>
        <v>954.10000000000014</v>
      </c>
      <c r="AC36" s="407">
        <f t="shared" si="81"/>
        <v>1443.4</v>
      </c>
      <c r="AD36" s="408">
        <f t="shared" si="38"/>
        <v>2051.6000000000004</v>
      </c>
      <c r="AE36" s="409">
        <f t="shared" si="8"/>
        <v>2383.7000000000003</v>
      </c>
      <c r="AF36" s="410">
        <f t="shared" si="9"/>
        <v>0.23823704586063132</v>
      </c>
      <c r="AG36" s="411">
        <f t="shared" si="39"/>
        <v>488.76712328767132</v>
      </c>
      <c r="AH36" s="412">
        <f t="shared" si="11"/>
        <v>567.88564621798696</v>
      </c>
      <c r="AJ36" s="730">
        <v>1</v>
      </c>
      <c r="AL36" s="413">
        <f t="shared" si="12"/>
        <v>6.4324002382370455</v>
      </c>
      <c r="AM36" s="414">
        <f t="shared" si="13"/>
        <v>79.118522930315663</v>
      </c>
      <c r="AN36" s="414">
        <f t="shared" si="14"/>
        <v>168.35020845741514</v>
      </c>
      <c r="AO36" s="414">
        <f t="shared" si="15"/>
        <v>0</v>
      </c>
      <c r="AP36" s="415">
        <f t="shared" si="16"/>
        <v>247.4687313877308</v>
      </c>
      <c r="AQ36" s="414">
        <f t="shared" si="17"/>
        <v>177.73674806432402</v>
      </c>
      <c r="AR36" s="414">
        <f t="shared" si="18"/>
        <v>18.665872543180466</v>
      </c>
      <c r="AS36" s="414">
        <f t="shared" si="19"/>
        <v>124.01429422275163</v>
      </c>
      <c r="AT36" s="415">
        <f t="shared" si="20"/>
        <v>320.41691483025613</v>
      </c>
      <c r="AU36" s="416">
        <f t="shared" si="21"/>
        <v>567.88564621798696</v>
      </c>
      <c r="AV36" s="417"/>
      <c r="AW36" s="418">
        <f t="shared" si="22"/>
        <v>66</v>
      </c>
      <c r="AX36" s="413">
        <f>IF(D36="",0,E36*VLOOKUP(H36,Trekkers!$E$141:$L$143,COLUMNS(Trekkers!$E$141:$L$141),FALSE)*AJ36)</f>
        <v>27</v>
      </c>
      <c r="AY36" s="414">
        <f t="shared" si="23"/>
        <v>332.1</v>
      </c>
      <c r="AZ36" s="414">
        <f>IF(D36="",0,VLOOKUP($D36,Trekkers!$A:$V,COLUMN(Trekkers!$K$5),FALSE))</f>
        <v>217.35000000000002</v>
      </c>
      <c r="BA36" s="414">
        <f>0</f>
        <v>0</v>
      </c>
      <c r="BB36" s="415">
        <f t="shared" si="24"/>
        <v>549.45000000000005</v>
      </c>
      <c r="BC36" s="414">
        <f>IF($D36="",0,VLOOKUP($D36,Trekkers!$A:$V,COLUMN(Trekkers!$G$5),FALSE)*$E$9/100)</f>
        <v>195.60000000000002</v>
      </c>
      <c r="BD36" s="414">
        <f>IF($D36="",0,VLOOKUP($D36,Trekkers!$A:$V,COLUMN(Trekkers!$H$5),FALSE))</f>
        <v>27.900000000000002</v>
      </c>
      <c r="BE36" s="414">
        <f>IF($D36="",0,VLOOKUP($D36,Trekkers!$A:$V,COLUMN(Trekkers!$I$5),FALSE)/$G$8*$E$8)</f>
        <v>167.35000000000002</v>
      </c>
      <c r="BF36" s="415">
        <f t="shared" si="25"/>
        <v>390.85</v>
      </c>
      <c r="BG36" s="416">
        <f t="shared" si="26"/>
        <v>940.30000000000007</v>
      </c>
      <c r="BH36" s="417"/>
      <c r="BI36" s="418">
        <f t="shared" si="0"/>
        <v>296</v>
      </c>
      <c r="BJ36" s="414">
        <f>IF($I36=0,0,VLOOKUP($I36,'Implemente &amp; Waens'!$A:$Z,COLUMN('Implemente &amp; Waens'!M$5),FALSE))</f>
        <v>489.3</v>
      </c>
      <c r="BK36" s="414">
        <f>IF($I36=0,0,VLOOKUP($I36,'Implemente &amp; Waens'!$A:$Z,COLUMN('Implemente &amp; Waens'!N$5),FALSE))</f>
        <v>0</v>
      </c>
      <c r="BL36" s="415">
        <f t="shared" si="27"/>
        <v>489.3</v>
      </c>
      <c r="BM36" s="414">
        <f>IF($I36=0,0,VLOOKUP($I36,'Implemente &amp; Waens'!$A:$Z,COLUMN('Implemente &amp; Waens'!I$5),FALSE)*$E$9/100)</f>
        <v>550.45000000000005</v>
      </c>
      <c r="BN36" s="414">
        <f>IF($I36=0,0,VLOOKUP($I36,'Implemente &amp; Waens'!$A:$Z,COLUMN('Implemente &amp; Waens'!J$5),FALSE))</f>
        <v>50.45</v>
      </c>
      <c r="BO36" s="414">
        <f>IF($I36=0,0,VLOOKUP($I36,'Implemente &amp; Waens'!$A:$Z,COLUMN('Implemente &amp; Waens'!K$5),FALSE)/$G$8*$E$8)</f>
        <v>353.2</v>
      </c>
      <c r="BP36" s="415">
        <f t="shared" si="28"/>
        <v>954.10000000000014</v>
      </c>
      <c r="BQ36" s="416">
        <f t="shared" si="29"/>
        <v>1443.4</v>
      </c>
    </row>
    <row r="37" spans="2:69">
      <c r="B37" s="397"/>
      <c r="C37" s="731" t="s">
        <v>1263</v>
      </c>
      <c r="D37" s="398">
        <f>Trekkers!A58</f>
        <v>58</v>
      </c>
      <c r="E37" s="399">
        <f>IF($D37="",0,VLOOKUP($D37,Trekkers!$A:$U,COLUMN(Trekkers!C$5),FALSE))</f>
        <v>110</v>
      </c>
      <c r="F37" s="399">
        <f>IF($D37="",0,VLOOKUP($D37,Trekkers!$A:$U,COLUMN(Trekkers!D$5),FALSE))</f>
        <v>147.51242985545309</v>
      </c>
      <c r="G37" s="399" t="str">
        <f>IF($D37="",0,VLOOKUP($D37,Trekkers!$A:$U,COLUMN(Trekkers!E$5),FALSE))</f>
        <v>4W</v>
      </c>
      <c r="H37" s="815" t="s">
        <v>133</v>
      </c>
      <c r="I37" s="398">
        <f>'Implemente &amp; Waens'!A$365</f>
        <v>365</v>
      </c>
      <c r="J37" s="400" t="str">
        <f>IF($I37=0,0,VLOOKUP($I37,'Implemente &amp; Waens'!$A:$Z,COLUMN('Implemente &amp; Waens'!C$5),FALSE))</f>
        <v>Balkspuit : 4500L, 30m, Sleep</v>
      </c>
      <c r="K37" s="969">
        <v>30</v>
      </c>
      <c r="L37" s="875">
        <v>10</v>
      </c>
      <c r="M37" s="876">
        <v>0.6</v>
      </c>
      <c r="N37" s="402">
        <f t="shared" si="1"/>
        <v>5.5555555555555552E-2</v>
      </c>
      <c r="O37" s="403">
        <f t="shared" si="37"/>
        <v>18</v>
      </c>
      <c r="P37" s="915">
        <f t="shared" si="30"/>
        <v>51.613888888888866</v>
      </c>
      <c r="Q37" s="915">
        <f t="shared" si="31"/>
        <v>66.663888888888863</v>
      </c>
      <c r="R37" s="915">
        <f t="shared" si="32"/>
        <v>77.080555555555534</v>
      </c>
      <c r="S37" s="923">
        <f t="shared" si="33"/>
        <v>87.497222222222206</v>
      </c>
      <c r="T37" s="917">
        <f t="shared" si="34"/>
        <v>0.96249999999999991</v>
      </c>
      <c r="U37" s="919">
        <f t="shared" si="35"/>
        <v>11.838749999999999</v>
      </c>
      <c r="V37" s="923">
        <f t="shared" si="36"/>
        <v>99.33597222222221</v>
      </c>
      <c r="X37" s="404">
        <f t="shared" si="3"/>
        <v>355.09749999999997</v>
      </c>
      <c r="Y37" s="405">
        <f t="shared" si="80"/>
        <v>255.35000000000002</v>
      </c>
      <c r="Z37" s="406">
        <f t="shared" si="80"/>
        <v>610.44749999999999</v>
      </c>
      <c r="AA37" s="404">
        <f t="shared" si="5"/>
        <v>460</v>
      </c>
      <c r="AB37" s="405">
        <f t="shared" si="81"/>
        <v>717.6</v>
      </c>
      <c r="AC37" s="407">
        <f t="shared" si="81"/>
        <v>1177.5999999999999</v>
      </c>
      <c r="AD37" s="408">
        <f t="shared" si="38"/>
        <v>1574.9499999999998</v>
      </c>
      <c r="AE37" s="409">
        <f t="shared" si="8"/>
        <v>1788.0474999999999</v>
      </c>
      <c r="AF37" s="410">
        <f t="shared" si="9"/>
        <v>5.5555555555555552E-2</v>
      </c>
      <c r="AG37" s="411">
        <f t="shared" si="39"/>
        <v>87.497222222222206</v>
      </c>
      <c r="AH37" s="412">
        <f t="shared" si="11"/>
        <v>99.33597222222221</v>
      </c>
      <c r="AJ37" s="730">
        <v>1</v>
      </c>
      <c r="AL37" s="413">
        <f t="shared" si="12"/>
        <v>0.96249999999999991</v>
      </c>
      <c r="AM37" s="414">
        <f t="shared" si="13"/>
        <v>11.838749999999999</v>
      </c>
      <c r="AN37" s="414">
        <f t="shared" si="14"/>
        <v>33.444444444444443</v>
      </c>
      <c r="AO37" s="414">
        <f t="shared" si="15"/>
        <v>0</v>
      </c>
      <c r="AP37" s="415">
        <f t="shared" si="16"/>
        <v>45.28319444444444</v>
      </c>
      <c r="AQ37" s="414">
        <f t="shared" si="17"/>
        <v>30.099999999999994</v>
      </c>
      <c r="AR37" s="414">
        <f t="shared" si="18"/>
        <v>3.1194444444444445</v>
      </c>
      <c r="AS37" s="414">
        <f t="shared" si="19"/>
        <v>20.833333333333336</v>
      </c>
      <c r="AT37" s="415">
        <f t="shared" si="20"/>
        <v>54.052777777777777</v>
      </c>
      <c r="AU37" s="416">
        <f t="shared" si="21"/>
        <v>99.33597222222221</v>
      </c>
      <c r="AV37" s="417"/>
      <c r="AW37" s="418">
        <f t="shared" si="22"/>
        <v>58</v>
      </c>
      <c r="AX37" s="413">
        <f>IF(D37="",0,E37*VLOOKUP(H37,Trekkers!$E$141:$L$143,COLUMNS(Trekkers!$E$141:$L$141),FALSE)*AJ37)</f>
        <v>17.324999999999999</v>
      </c>
      <c r="AY37" s="414">
        <f t="shared" si="23"/>
        <v>213.0975</v>
      </c>
      <c r="AZ37" s="414">
        <f>IF(D37="",0,VLOOKUP($D37,Trekkers!$A:$V,COLUMN(Trekkers!$K$5),FALSE))</f>
        <v>142</v>
      </c>
      <c r="BA37" s="414">
        <f>0</f>
        <v>0</v>
      </c>
      <c r="BB37" s="415">
        <f t="shared" si="24"/>
        <v>355.09749999999997</v>
      </c>
      <c r="BC37" s="414">
        <f>IF($D37="",0,VLOOKUP($D37,Trekkers!$A:$V,COLUMN(Trekkers!$G$5),FALSE)*$E$9/100)</f>
        <v>127.80000000000001</v>
      </c>
      <c r="BD37" s="414">
        <f>IF($D37="",0,VLOOKUP($D37,Trekkers!$A:$V,COLUMN(Trekkers!$H$5),FALSE))</f>
        <v>18.2</v>
      </c>
      <c r="BE37" s="414">
        <f>IF($D37="",0,VLOOKUP($D37,Trekkers!$A:$V,COLUMN(Trekkers!$I$5),FALSE)/$G$8*$E$8)</f>
        <v>109.35000000000001</v>
      </c>
      <c r="BF37" s="415">
        <f t="shared" si="25"/>
        <v>255.35000000000002</v>
      </c>
      <c r="BG37" s="416">
        <f t="shared" si="26"/>
        <v>610.44749999999999</v>
      </c>
      <c r="BH37" s="417"/>
      <c r="BI37" s="418">
        <f t="shared" si="0"/>
        <v>365</v>
      </c>
      <c r="BJ37" s="414">
        <f>IF($I37=0,0,VLOOKUP($I37,'Implemente &amp; Waens'!$A:$Z,COLUMN('Implemente &amp; Waens'!M$5),FALSE))</f>
        <v>460</v>
      </c>
      <c r="BK37" s="414">
        <f>IF($I37=0,0,VLOOKUP($I37,'Implemente &amp; Waens'!$A:$Z,COLUMN('Implemente &amp; Waens'!N$5),FALSE))</f>
        <v>0</v>
      </c>
      <c r="BL37" s="415">
        <f t="shared" si="27"/>
        <v>460</v>
      </c>
      <c r="BM37" s="414">
        <f>IF($I37=0,0,VLOOKUP($I37,'Implemente &amp; Waens'!$A:$Z,COLUMN('Implemente &amp; Waens'!I$5),FALSE)*$E$9/100)</f>
        <v>414</v>
      </c>
      <c r="BN37" s="414">
        <f>IF($I37=0,0,VLOOKUP($I37,'Implemente &amp; Waens'!$A:$Z,COLUMN('Implemente &amp; Waens'!J$5),FALSE))</f>
        <v>37.950000000000003</v>
      </c>
      <c r="BO37" s="414">
        <f>IF($I37=0,0,VLOOKUP($I37,'Implemente &amp; Waens'!$A:$Z,COLUMN('Implemente &amp; Waens'!K$5),FALSE)/$G$8*$E$8)</f>
        <v>265.65000000000003</v>
      </c>
      <c r="BP37" s="415">
        <f t="shared" si="28"/>
        <v>717.6</v>
      </c>
      <c r="BQ37" s="416">
        <f t="shared" si="29"/>
        <v>1177.5999999999999</v>
      </c>
    </row>
    <row r="38" spans="2:69">
      <c r="B38" s="397"/>
      <c r="C38" s="731" t="s">
        <v>1264</v>
      </c>
      <c r="D38" s="398">
        <f>Trekkers!A53</f>
        <v>53</v>
      </c>
      <c r="E38" s="399">
        <f>IF($D38="",0,VLOOKUP($D38,Trekkers!$A:$U,COLUMN(Trekkers!C$5),FALSE))</f>
        <v>85</v>
      </c>
      <c r="F38" s="399">
        <f>IF($D38="",0,VLOOKUP($D38,Trekkers!$A:$U,COLUMN(Trekkers!D$5),FALSE))</f>
        <v>113.9868776155774</v>
      </c>
      <c r="G38" s="399" t="str">
        <f>IF($D38="",0,VLOOKUP($D38,Trekkers!$A:$U,COLUMN(Trekkers!E$5),FALSE))</f>
        <v>4W</v>
      </c>
      <c r="H38" s="815" t="s">
        <v>133</v>
      </c>
      <c r="I38" s="398">
        <f>'Implemente &amp; Waens'!A$390</f>
        <v>390</v>
      </c>
      <c r="J38" s="400" t="str">
        <f>IF($I38=0,0,VLOOKUP($I38,'Implemente &amp; Waens'!$A:$Z,COLUMN('Implemente &amp; Waens'!C$5),FALSE))</f>
        <v>Platsnyer : 25 voet, 7.62m</v>
      </c>
      <c r="K38" s="968">
        <v>7.62</v>
      </c>
      <c r="L38" s="762">
        <v>6.5</v>
      </c>
      <c r="M38" s="763">
        <v>0.8</v>
      </c>
      <c r="N38" s="402">
        <f t="shared" si="1"/>
        <v>0.25237229961639412</v>
      </c>
      <c r="O38" s="403">
        <f t="shared" si="37"/>
        <v>3.9624000000000001</v>
      </c>
      <c r="P38" s="915">
        <f t="shared" si="30"/>
        <v>79.856904906117521</v>
      </c>
      <c r="Q38" s="915">
        <f t="shared" si="31"/>
        <v>104.75974157076521</v>
      </c>
      <c r="R38" s="915">
        <f t="shared" si="32"/>
        <v>123.13244498283871</v>
      </c>
      <c r="S38" s="923">
        <f t="shared" si="33"/>
        <v>141.5051483949122</v>
      </c>
      <c r="T38" s="917">
        <f t="shared" si="34"/>
        <v>3.3786341611144763</v>
      </c>
      <c r="U38" s="919">
        <f t="shared" si="35"/>
        <v>41.557200181708062</v>
      </c>
      <c r="V38" s="923">
        <f t="shared" si="36"/>
        <v>183.06234857662025</v>
      </c>
      <c r="X38" s="404">
        <f t="shared" si="3"/>
        <v>263.16624999999999</v>
      </c>
      <c r="Y38" s="405">
        <f t="shared" si="80"/>
        <v>177.15000000000003</v>
      </c>
      <c r="Z38" s="406">
        <f t="shared" si="80"/>
        <v>440.31625000000003</v>
      </c>
      <c r="AA38" s="404">
        <f t="shared" si="5"/>
        <v>96.65</v>
      </c>
      <c r="AB38" s="405">
        <f t="shared" si="81"/>
        <v>188.4</v>
      </c>
      <c r="AC38" s="407">
        <f t="shared" si="81"/>
        <v>285.05</v>
      </c>
      <c r="AD38" s="408">
        <f t="shared" si="38"/>
        <v>560.70000000000005</v>
      </c>
      <c r="AE38" s="409">
        <f t="shared" si="8"/>
        <v>725.36625000000004</v>
      </c>
      <c r="AF38" s="410">
        <f t="shared" si="9"/>
        <v>0.25237229961639412</v>
      </c>
      <c r="AG38" s="411">
        <f t="shared" si="39"/>
        <v>141.5051483949122</v>
      </c>
      <c r="AH38" s="412">
        <f t="shared" si="11"/>
        <v>183.06234857662025</v>
      </c>
      <c r="AJ38" s="730">
        <v>1</v>
      </c>
      <c r="AL38" s="413">
        <f t="shared" si="12"/>
        <v>3.3786341611144763</v>
      </c>
      <c r="AM38" s="414">
        <f t="shared" si="13"/>
        <v>41.557200181708062</v>
      </c>
      <c r="AN38" s="414">
        <f t="shared" si="14"/>
        <v>49.250454270139315</v>
      </c>
      <c r="AO38" s="414">
        <f t="shared" si="15"/>
        <v>0</v>
      </c>
      <c r="AP38" s="415">
        <f t="shared" si="16"/>
        <v>90.807654451847384</v>
      </c>
      <c r="AQ38" s="414">
        <f t="shared" si="17"/>
        <v>49.805673329295388</v>
      </c>
      <c r="AR38" s="414">
        <f t="shared" si="18"/>
        <v>5.7036139713305074</v>
      </c>
      <c r="AS38" s="414">
        <f t="shared" si="19"/>
        <v>36.74540682414699</v>
      </c>
      <c r="AT38" s="415">
        <f t="shared" si="20"/>
        <v>92.254694124772882</v>
      </c>
      <c r="AU38" s="416">
        <f t="shared" si="21"/>
        <v>183.06234857662025</v>
      </c>
      <c r="AV38" s="417"/>
      <c r="AW38" s="418">
        <f t="shared" si="22"/>
        <v>53</v>
      </c>
      <c r="AX38" s="413">
        <f>IF(D38="",0,E38*VLOOKUP(H38,Trekkers!$E$141:$L$143,COLUMNS(Trekkers!$E$141:$L$141),FALSE)*AJ38)</f>
        <v>13.387499999999999</v>
      </c>
      <c r="AY38" s="414">
        <f t="shared" si="23"/>
        <v>164.66624999999999</v>
      </c>
      <c r="AZ38" s="414">
        <f>IF(D38="",0,VLOOKUP($D38,Trekkers!$A:$V,COLUMN(Trekkers!$K$5),FALSE))</f>
        <v>98.5</v>
      </c>
      <c r="BA38" s="414">
        <f>0</f>
        <v>0</v>
      </c>
      <c r="BB38" s="415">
        <f t="shared" si="24"/>
        <v>263.16624999999999</v>
      </c>
      <c r="BC38" s="414">
        <f>IF($D38="",0,VLOOKUP($D38,Trekkers!$A:$V,COLUMN(Trekkers!$G$5),FALSE)*$E$9/100)</f>
        <v>88.65</v>
      </c>
      <c r="BD38" s="414">
        <f>IF($D38="",0,VLOOKUP($D38,Trekkers!$A:$V,COLUMN(Trekkers!$H$5),FALSE))</f>
        <v>12.65</v>
      </c>
      <c r="BE38" s="414">
        <f>IF($D38="",0,VLOOKUP($D38,Trekkers!$A:$V,COLUMN(Trekkers!$I$5),FALSE)/$G$8*$E$8)</f>
        <v>75.850000000000009</v>
      </c>
      <c r="BF38" s="415">
        <f t="shared" si="25"/>
        <v>177.15000000000003</v>
      </c>
      <c r="BG38" s="416">
        <f t="shared" si="26"/>
        <v>440.31625000000003</v>
      </c>
      <c r="BH38" s="417"/>
      <c r="BI38" s="418">
        <f t="shared" si="0"/>
        <v>390</v>
      </c>
      <c r="BJ38" s="414">
        <f>IF($I38=0,0,VLOOKUP($I38,'Implemente &amp; Waens'!$A:$Z,COLUMN('Implemente &amp; Waens'!M$5),FALSE))</f>
        <v>96.65</v>
      </c>
      <c r="BK38" s="414">
        <f>IF($I38=0,0,VLOOKUP($I38,'Implemente &amp; Waens'!$A:$Z,COLUMN('Implemente &amp; Waens'!N$5),FALSE))</f>
        <v>0</v>
      </c>
      <c r="BL38" s="415">
        <f t="shared" si="27"/>
        <v>96.65</v>
      </c>
      <c r="BM38" s="414">
        <f>IF($I38=0,0,VLOOKUP($I38,'Implemente &amp; Waens'!$A:$Z,COLUMN('Implemente &amp; Waens'!I$5),FALSE)*$E$9/100)</f>
        <v>108.7</v>
      </c>
      <c r="BN38" s="414">
        <f>IF($I38=0,0,VLOOKUP($I38,'Implemente &amp; Waens'!$A:$Z,COLUMN('Implemente &amp; Waens'!J$5),FALSE))</f>
        <v>9.9500000000000011</v>
      </c>
      <c r="BO38" s="414">
        <f>IF($I38=0,0,VLOOKUP($I38,'Implemente &amp; Waens'!$A:$Z,COLUMN('Implemente &amp; Waens'!K$5),FALSE)/$G$8*$E$8)</f>
        <v>69.75</v>
      </c>
      <c r="BP38" s="415">
        <f t="shared" si="28"/>
        <v>188.4</v>
      </c>
      <c r="BQ38" s="416">
        <f t="shared" si="29"/>
        <v>285.05</v>
      </c>
    </row>
    <row r="39" spans="2:69">
      <c r="B39" s="397"/>
      <c r="C39" s="731" t="s">
        <v>1211</v>
      </c>
      <c r="D39" s="398">
        <f>Trekkers!A53</f>
        <v>53</v>
      </c>
      <c r="E39" s="399">
        <f>IF($D39="",0,VLOOKUP($D39,Trekkers!$A:$U,COLUMN(Trekkers!C$5),FALSE))</f>
        <v>85</v>
      </c>
      <c r="F39" s="399">
        <f>IF($D39="",0,VLOOKUP($D39,Trekkers!$A:$U,COLUMN(Trekkers!D$5),FALSE))</f>
        <v>113.9868776155774</v>
      </c>
      <c r="G39" s="399" t="str">
        <f>IF($D39="",0,VLOOKUP($D39,Trekkers!$A:$U,COLUMN(Trekkers!E$5),FALSE))</f>
        <v>4W</v>
      </c>
      <c r="H39" s="815" t="s">
        <v>133</v>
      </c>
      <c r="I39" s="398">
        <f>'Implemente &amp; Waens'!A$424</f>
        <v>424</v>
      </c>
      <c r="J39" s="400" t="str">
        <f>IF($I39=0,0,VLOOKUP($I39,'Implemente &amp; Waens'!$A:$Z,COLUMN('Implemente &amp; Waens'!C$5),FALSE))</f>
        <v>Snyer-kneuser: 7-skyf 3.5m, Sleep, Roller, Sy-trek,</v>
      </c>
      <c r="K39" s="968">
        <v>3.5</v>
      </c>
      <c r="L39" s="762">
        <v>8</v>
      </c>
      <c r="M39" s="763">
        <v>0.8</v>
      </c>
      <c r="N39" s="402">
        <f t="shared" si="1"/>
        <v>0.44642857142857145</v>
      </c>
      <c r="O39" s="403">
        <f t="shared" si="37"/>
        <v>2.2400000000000002</v>
      </c>
      <c r="P39" s="915">
        <f t="shared" si="30"/>
        <v>213.96205357142861</v>
      </c>
      <c r="Q39" s="915">
        <f t="shared" si="31"/>
        <v>291.18303571428578</v>
      </c>
      <c r="R39" s="915">
        <f t="shared" si="32"/>
        <v>344.96651785714289</v>
      </c>
      <c r="S39" s="923">
        <f t="shared" si="33"/>
        <v>398.75000000000006</v>
      </c>
      <c r="T39" s="917">
        <f t="shared" si="34"/>
        <v>5.9765625</v>
      </c>
      <c r="U39" s="919">
        <f t="shared" si="35"/>
        <v>73.51171875</v>
      </c>
      <c r="V39" s="923">
        <f t="shared" si="36"/>
        <v>472.26171875000006</v>
      </c>
      <c r="X39" s="404">
        <f t="shared" si="3"/>
        <v>263.16624999999999</v>
      </c>
      <c r="Y39" s="405">
        <f t="shared" si="80"/>
        <v>177.15000000000003</v>
      </c>
      <c r="Z39" s="406">
        <f t="shared" si="80"/>
        <v>440.31625000000003</v>
      </c>
      <c r="AA39" s="404">
        <f t="shared" si="5"/>
        <v>171.55</v>
      </c>
      <c r="AB39" s="405">
        <f t="shared" si="81"/>
        <v>446.00000000000006</v>
      </c>
      <c r="AC39" s="407">
        <f t="shared" si="81"/>
        <v>617.55000000000007</v>
      </c>
      <c r="AD39" s="408">
        <f t="shared" si="38"/>
        <v>893.2</v>
      </c>
      <c r="AE39" s="409">
        <f t="shared" si="8"/>
        <v>1057.86625</v>
      </c>
      <c r="AF39" s="410">
        <f t="shared" si="9"/>
        <v>0.44642857142857145</v>
      </c>
      <c r="AG39" s="411">
        <f t="shared" si="39"/>
        <v>398.75000000000006</v>
      </c>
      <c r="AH39" s="412">
        <f t="shared" si="11"/>
        <v>472.26171875000006</v>
      </c>
      <c r="AJ39" s="730">
        <v>1</v>
      </c>
      <c r="AL39" s="413">
        <f t="shared" si="12"/>
        <v>5.9765625</v>
      </c>
      <c r="AM39" s="414">
        <f t="shared" si="13"/>
        <v>73.51171875</v>
      </c>
      <c r="AN39" s="414">
        <f t="shared" si="14"/>
        <v>120.55803571428572</v>
      </c>
      <c r="AO39" s="414">
        <f t="shared" si="15"/>
        <v>0</v>
      </c>
      <c r="AP39" s="415">
        <f t="shared" si="16"/>
        <v>194.06975446428572</v>
      </c>
      <c r="AQ39" s="414">
        <f t="shared" si="17"/>
        <v>154.44196428571431</v>
      </c>
      <c r="AR39" s="414">
        <f t="shared" si="18"/>
        <v>16.183035714285715</v>
      </c>
      <c r="AS39" s="414">
        <f t="shared" si="19"/>
        <v>107.56696428571431</v>
      </c>
      <c r="AT39" s="415">
        <f t="shared" si="20"/>
        <v>278.19196428571433</v>
      </c>
      <c r="AU39" s="416">
        <f t="shared" si="21"/>
        <v>472.26171875000006</v>
      </c>
      <c r="AV39" s="417"/>
      <c r="AW39" s="418">
        <f t="shared" si="22"/>
        <v>53</v>
      </c>
      <c r="AX39" s="413">
        <f>IF(D39="",0,E39*VLOOKUP(H39,Trekkers!$E$141:$L$143,COLUMNS(Trekkers!$E$141:$L$141),FALSE)*AJ39)</f>
        <v>13.387499999999999</v>
      </c>
      <c r="AY39" s="414">
        <f t="shared" si="23"/>
        <v>164.66624999999999</v>
      </c>
      <c r="AZ39" s="414">
        <f>IF(D39="",0,VLOOKUP($D39,Trekkers!$A:$V,COLUMN(Trekkers!$K$5),FALSE))</f>
        <v>98.5</v>
      </c>
      <c r="BA39" s="414">
        <f>0</f>
        <v>0</v>
      </c>
      <c r="BB39" s="415">
        <f t="shared" si="24"/>
        <v>263.16624999999999</v>
      </c>
      <c r="BC39" s="414">
        <f>IF($D39="",0,VLOOKUP($D39,Trekkers!$A:$V,COLUMN(Trekkers!$G$5),FALSE)*$E$9/100)</f>
        <v>88.65</v>
      </c>
      <c r="BD39" s="414">
        <f>IF($D39="",0,VLOOKUP($D39,Trekkers!$A:$V,COLUMN(Trekkers!$H$5),FALSE))</f>
        <v>12.65</v>
      </c>
      <c r="BE39" s="414">
        <f>IF($D39="",0,VLOOKUP($D39,Trekkers!$A:$V,COLUMN(Trekkers!$I$5),FALSE)/$G$8*$E$8)</f>
        <v>75.850000000000009</v>
      </c>
      <c r="BF39" s="415">
        <f t="shared" si="25"/>
        <v>177.15000000000003</v>
      </c>
      <c r="BG39" s="416">
        <f t="shared" si="26"/>
        <v>440.31625000000003</v>
      </c>
      <c r="BH39" s="417"/>
      <c r="BI39" s="418">
        <f t="shared" si="0"/>
        <v>424</v>
      </c>
      <c r="BJ39" s="414">
        <f>IF($I39=0,0,VLOOKUP($I39,'Implemente &amp; Waens'!$A:$Z,COLUMN('Implemente &amp; Waens'!M$5),FALSE))</f>
        <v>171.55</v>
      </c>
      <c r="BK39" s="414">
        <f>IF($I39=0,0,VLOOKUP($I39,'Implemente &amp; Waens'!$A:$Z,COLUMN('Implemente &amp; Waens'!N$5),FALSE))</f>
        <v>0</v>
      </c>
      <c r="BL39" s="415">
        <f t="shared" si="27"/>
        <v>171.55</v>
      </c>
      <c r="BM39" s="414">
        <f>IF($I39=0,0,VLOOKUP($I39,'Implemente &amp; Waens'!$A:$Z,COLUMN('Implemente &amp; Waens'!I$5),FALSE)*$E$9/100)</f>
        <v>257.3</v>
      </c>
      <c r="BN39" s="414">
        <f>IF($I39=0,0,VLOOKUP($I39,'Implemente &amp; Waens'!$A:$Z,COLUMN('Implemente &amp; Waens'!J$5),FALSE))</f>
        <v>23.6</v>
      </c>
      <c r="BO39" s="414">
        <f>IF($I39=0,0,VLOOKUP($I39,'Implemente &amp; Waens'!$A:$Z,COLUMN('Implemente &amp; Waens'!K$5),FALSE)/$G$8*$E$8)</f>
        <v>165.10000000000002</v>
      </c>
      <c r="BP39" s="415">
        <f t="shared" si="28"/>
        <v>446.00000000000006</v>
      </c>
      <c r="BQ39" s="416">
        <f t="shared" si="29"/>
        <v>617.55000000000007</v>
      </c>
    </row>
    <row r="40" spans="2:69">
      <c r="B40" s="397"/>
      <c r="C40" s="731" t="s">
        <v>1265</v>
      </c>
      <c r="D40" s="398">
        <f>Trekkers!A20</f>
        <v>20</v>
      </c>
      <c r="E40" s="399">
        <f>IF($D40="",0,VLOOKUP($D40,Trekkers!$A:$U,COLUMN(Trekkers!C$5),FALSE))</f>
        <v>55</v>
      </c>
      <c r="F40" s="399">
        <f>IF($D40="",0,VLOOKUP($D40,Trekkers!$A:$U,COLUMN(Trekkers!D$5),FALSE))</f>
        <v>73.756214927726546</v>
      </c>
      <c r="G40" s="399" t="str">
        <f>IF($D40="",0,VLOOKUP($D40,Trekkers!$A:$U,COLUMN(Trekkers!E$5),FALSE))</f>
        <v>2W</v>
      </c>
      <c r="H40" s="815" t="s">
        <v>91</v>
      </c>
      <c r="I40" s="398">
        <f>'Implemente &amp; Waens'!A$490</f>
        <v>490</v>
      </c>
      <c r="J40" s="400" t="str">
        <f>IF($I40=0,0,VLOOKUP($I40,'Implemente &amp; Waens'!$A:$Z,COLUMN('Implemente &amp; Waens'!C$5),FALSE))</f>
        <v>Hooiskudder: 3.0m, 3-punt</v>
      </c>
      <c r="K40" s="968">
        <v>4</v>
      </c>
      <c r="L40" s="762">
        <v>10</v>
      </c>
      <c r="M40" s="763">
        <v>0.8</v>
      </c>
      <c r="N40" s="402">
        <f t="shared" si="1"/>
        <v>0.3125</v>
      </c>
      <c r="O40" s="403">
        <f t="shared" si="37"/>
        <v>3.2</v>
      </c>
      <c r="P40" s="915">
        <f t="shared" si="30"/>
        <v>47.250000000000014</v>
      </c>
      <c r="Q40" s="915">
        <f t="shared" si="31"/>
        <v>60.078125000000014</v>
      </c>
      <c r="R40" s="915">
        <f t="shared" si="32"/>
        <v>69.656250000000014</v>
      </c>
      <c r="S40" s="923">
        <f t="shared" si="33"/>
        <v>79.234375000000014</v>
      </c>
      <c r="T40" s="917">
        <f t="shared" si="34"/>
        <v>2.40625</v>
      </c>
      <c r="U40" s="919">
        <f t="shared" si="35"/>
        <v>29.596875000000001</v>
      </c>
      <c r="V40" s="923">
        <f t="shared" si="36"/>
        <v>108.83125000000001</v>
      </c>
      <c r="X40" s="404">
        <f t="shared" si="3"/>
        <v>139.45999999999998</v>
      </c>
      <c r="Y40" s="405">
        <f t="shared" si="80"/>
        <v>80.45</v>
      </c>
      <c r="Z40" s="406">
        <f t="shared" si="80"/>
        <v>219.90999999999997</v>
      </c>
      <c r="AA40" s="404">
        <f t="shared" si="5"/>
        <v>55.800000000000004</v>
      </c>
      <c r="AB40" s="405">
        <f t="shared" si="81"/>
        <v>72.550000000000011</v>
      </c>
      <c r="AC40" s="407">
        <f t="shared" si="81"/>
        <v>128.35000000000002</v>
      </c>
      <c r="AD40" s="408">
        <f t="shared" si="38"/>
        <v>253.55</v>
      </c>
      <c r="AE40" s="409">
        <f t="shared" si="8"/>
        <v>348.26</v>
      </c>
      <c r="AF40" s="410">
        <f t="shared" si="9"/>
        <v>0.3125</v>
      </c>
      <c r="AG40" s="411">
        <f t="shared" si="39"/>
        <v>79.234375000000014</v>
      </c>
      <c r="AH40" s="412">
        <f t="shared" si="11"/>
        <v>108.83125000000001</v>
      </c>
      <c r="AJ40" s="730">
        <v>1</v>
      </c>
      <c r="AL40" s="413">
        <f t="shared" si="12"/>
        <v>2.40625</v>
      </c>
      <c r="AM40" s="414">
        <f t="shared" si="13"/>
        <v>29.596875000000001</v>
      </c>
      <c r="AN40" s="414">
        <f t="shared" si="14"/>
        <v>31.421875000000004</v>
      </c>
      <c r="AO40" s="414">
        <f t="shared" si="15"/>
        <v>0</v>
      </c>
      <c r="AP40" s="415">
        <f t="shared" si="16"/>
        <v>61.018750000000004</v>
      </c>
      <c r="AQ40" s="414">
        <f t="shared" si="17"/>
        <v>25.65625</v>
      </c>
      <c r="AR40" s="414">
        <f t="shared" si="18"/>
        <v>3</v>
      </c>
      <c r="AS40" s="414">
        <f t="shared" si="19"/>
        <v>19.15625</v>
      </c>
      <c r="AT40" s="415">
        <f t="shared" si="20"/>
        <v>47.8125</v>
      </c>
      <c r="AU40" s="416">
        <f t="shared" si="21"/>
        <v>108.83125000000001</v>
      </c>
      <c r="AV40" s="417"/>
      <c r="AW40" s="418">
        <f t="shared" si="22"/>
        <v>20</v>
      </c>
      <c r="AX40" s="413">
        <f>IF(D40="",0,E40*VLOOKUP(H40,Trekkers!$E$141:$L$143,COLUMNS(Trekkers!$E$141:$L$141),FALSE)*AJ40)</f>
        <v>7.6999999999999993</v>
      </c>
      <c r="AY40" s="414">
        <f t="shared" si="23"/>
        <v>94.71</v>
      </c>
      <c r="AZ40" s="414">
        <f>IF(D40="",0,VLOOKUP($D40,Trekkers!$A:$V,COLUMN(Trekkers!$K$5),FALSE))</f>
        <v>44.75</v>
      </c>
      <c r="BA40" s="414">
        <f>0</f>
        <v>0</v>
      </c>
      <c r="BB40" s="415">
        <f t="shared" si="24"/>
        <v>139.45999999999998</v>
      </c>
      <c r="BC40" s="414">
        <f>IF($D40="",0,VLOOKUP($D40,Trekkers!$A:$V,COLUMN(Trekkers!$G$5),FALSE)*$E$9/100)</f>
        <v>40.25</v>
      </c>
      <c r="BD40" s="414">
        <f>IF($D40="",0,VLOOKUP($D40,Trekkers!$A:$V,COLUMN(Trekkers!$H$5),FALSE))</f>
        <v>5.75</v>
      </c>
      <c r="BE40" s="414">
        <f>IF($D40="",0,VLOOKUP($D40,Trekkers!$A:$V,COLUMN(Trekkers!$I$5),FALSE)/$G$8*$E$8)</f>
        <v>34.450000000000003</v>
      </c>
      <c r="BF40" s="415">
        <f t="shared" si="25"/>
        <v>80.45</v>
      </c>
      <c r="BG40" s="416">
        <f t="shared" si="26"/>
        <v>219.90999999999997</v>
      </c>
      <c r="BH40" s="417"/>
      <c r="BI40" s="418">
        <f t="shared" si="0"/>
        <v>490</v>
      </c>
      <c r="BJ40" s="414">
        <f>IF($I40=0,0,VLOOKUP($I40,'Implemente &amp; Waens'!$A:$Z,COLUMN('Implemente &amp; Waens'!M$5),FALSE))</f>
        <v>55.800000000000004</v>
      </c>
      <c r="BK40" s="414">
        <f>IF($I40=0,0,VLOOKUP($I40,'Implemente &amp; Waens'!$A:$Z,COLUMN('Implemente &amp; Waens'!N$5),FALSE))</f>
        <v>0</v>
      </c>
      <c r="BL40" s="415">
        <f t="shared" si="27"/>
        <v>55.800000000000004</v>
      </c>
      <c r="BM40" s="414">
        <f>IF($I40=0,0,VLOOKUP($I40,'Implemente &amp; Waens'!$A:$Z,COLUMN('Implemente &amp; Waens'!I$5),FALSE)*$E$9/100)</f>
        <v>41.85</v>
      </c>
      <c r="BN40" s="414">
        <f>IF($I40=0,0,VLOOKUP($I40,'Implemente &amp; Waens'!$A:$Z,COLUMN('Implemente &amp; Waens'!J$5),FALSE))</f>
        <v>3.85</v>
      </c>
      <c r="BO40" s="414">
        <f>IF($I40=0,0,VLOOKUP($I40,'Implemente &amp; Waens'!$A:$Z,COLUMN('Implemente &amp; Waens'!K$5),FALSE)/$G$8*$E$8)</f>
        <v>26.85</v>
      </c>
      <c r="BP40" s="415">
        <f t="shared" si="28"/>
        <v>72.550000000000011</v>
      </c>
      <c r="BQ40" s="416">
        <f t="shared" si="29"/>
        <v>128.35000000000002</v>
      </c>
    </row>
    <row r="41" spans="2:69">
      <c r="B41" s="397"/>
      <c r="C41" s="731" t="s">
        <v>1266</v>
      </c>
      <c r="D41" s="398">
        <f>Trekkers!A50</f>
        <v>50</v>
      </c>
      <c r="E41" s="399">
        <f>IF($D41="",0,VLOOKUP($D41,Trekkers!$A:$U,COLUMN(Trekkers!C$5),FALSE))</f>
        <v>70</v>
      </c>
      <c r="F41" s="399">
        <f>IF($D41="",0,VLOOKUP($D41,Trekkers!$A:$U,COLUMN(Trekkers!D$5),FALSE))</f>
        <v>93.87154627165198</v>
      </c>
      <c r="G41" s="399" t="str">
        <f>IF($D41="",0,VLOOKUP($D41,Trekkers!$A:$U,COLUMN(Trekkers!E$5),FALSE))</f>
        <v>4W</v>
      </c>
      <c r="H41" s="815" t="s">
        <v>133</v>
      </c>
      <c r="I41" s="398">
        <f>'Implemente &amp; Waens'!A$505</f>
        <v>505</v>
      </c>
      <c r="J41" s="400" t="str">
        <f>IF($I41=0,0,VLOOKUP($I41,'Implemente &amp; Waens'!$A:$Z,COLUMN('Implemente &amp; Waens'!C$5),FALSE))</f>
        <v>Klein vierkant baler 5060</v>
      </c>
      <c r="K41" s="969">
        <v>3.5</v>
      </c>
      <c r="L41" s="875">
        <v>5.5</v>
      </c>
      <c r="M41" s="876">
        <v>0.6</v>
      </c>
      <c r="N41" s="402">
        <f t="shared" si="1"/>
        <v>0.86580086580086579</v>
      </c>
      <c r="O41" s="403">
        <f t="shared" si="37"/>
        <v>1.1549999999999998</v>
      </c>
      <c r="P41" s="915">
        <f t="shared" si="30"/>
        <v>306.0822510822511</v>
      </c>
      <c r="Q41" s="915">
        <f t="shared" si="31"/>
        <v>402.64069264069269</v>
      </c>
      <c r="R41" s="915">
        <f t="shared" si="32"/>
        <v>485.2380952380953</v>
      </c>
      <c r="S41" s="923">
        <f t="shared" si="33"/>
        <v>567.8354978354979</v>
      </c>
      <c r="T41" s="917">
        <f t="shared" si="34"/>
        <v>9.545454545454545</v>
      </c>
      <c r="U41" s="919">
        <f t="shared" si="35"/>
        <v>117.40909090909091</v>
      </c>
      <c r="V41" s="923">
        <f t="shared" si="36"/>
        <v>685.24458874458878</v>
      </c>
      <c r="X41" s="404">
        <f t="shared" si="3"/>
        <v>211.15750000000003</v>
      </c>
      <c r="Y41" s="405">
        <f t="shared" si="80"/>
        <v>135.85000000000002</v>
      </c>
      <c r="Z41" s="406">
        <f t="shared" si="80"/>
        <v>347.00750000000005</v>
      </c>
      <c r="AA41" s="404">
        <f t="shared" si="5"/>
        <v>137.80000000000001</v>
      </c>
      <c r="AB41" s="405">
        <f t="shared" si="81"/>
        <v>306.64999999999998</v>
      </c>
      <c r="AC41" s="407">
        <f t="shared" si="81"/>
        <v>444.45</v>
      </c>
      <c r="AD41" s="408">
        <f t="shared" si="38"/>
        <v>655.84999999999991</v>
      </c>
      <c r="AE41" s="409">
        <f t="shared" si="8"/>
        <v>791.45749999999998</v>
      </c>
      <c r="AF41" s="410">
        <f t="shared" si="9"/>
        <v>0.86580086580086579</v>
      </c>
      <c r="AG41" s="411">
        <f t="shared" si="39"/>
        <v>567.8354978354979</v>
      </c>
      <c r="AH41" s="412">
        <f t="shared" si="11"/>
        <v>685.24458874458878</v>
      </c>
      <c r="AJ41" s="730">
        <v>1</v>
      </c>
      <c r="AL41" s="413">
        <f t="shared" si="12"/>
        <v>9.545454545454545</v>
      </c>
      <c r="AM41" s="414">
        <f t="shared" si="13"/>
        <v>117.40909090909091</v>
      </c>
      <c r="AN41" s="414">
        <f t="shared" si="14"/>
        <v>184.71861471861473</v>
      </c>
      <c r="AO41" s="414">
        <f t="shared" si="15"/>
        <v>0</v>
      </c>
      <c r="AP41" s="415">
        <f t="shared" si="16"/>
        <v>302.12770562770561</v>
      </c>
      <c r="AQ41" s="414">
        <f t="shared" si="17"/>
        <v>193.11688311688312</v>
      </c>
      <c r="AR41" s="414">
        <f t="shared" si="18"/>
        <v>24.805194805194805</v>
      </c>
      <c r="AS41" s="414">
        <f t="shared" si="19"/>
        <v>165.19480519480521</v>
      </c>
      <c r="AT41" s="415">
        <f t="shared" si="20"/>
        <v>383.11688311688317</v>
      </c>
      <c r="AU41" s="416">
        <f t="shared" si="21"/>
        <v>685.24458874458878</v>
      </c>
      <c r="AV41" s="417"/>
      <c r="AW41" s="418">
        <f t="shared" si="22"/>
        <v>50</v>
      </c>
      <c r="AX41" s="413">
        <f>IF(D41="",0,E41*VLOOKUP(H41,Trekkers!$E$141:$L$143,COLUMNS(Trekkers!$E$141:$L$141),FALSE)*AJ41)</f>
        <v>11.025</v>
      </c>
      <c r="AY41" s="414">
        <f t="shared" si="23"/>
        <v>135.60750000000002</v>
      </c>
      <c r="AZ41" s="414">
        <f>IF(D41="",0,VLOOKUP($D41,Trekkers!$A:$V,COLUMN(Trekkers!$K$5),FALSE))</f>
        <v>75.55</v>
      </c>
      <c r="BA41" s="414">
        <f>0</f>
        <v>0</v>
      </c>
      <c r="BB41" s="415">
        <f t="shared" si="24"/>
        <v>211.15750000000003</v>
      </c>
      <c r="BC41" s="414">
        <f>IF($D41="",0,VLOOKUP($D41,Trekkers!$A:$V,COLUMN(Trekkers!$G$5),FALSE)*$E$9/100)</f>
        <v>68</v>
      </c>
      <c r="BD41" s="414">
        <f>IF($D41="",0,VLOOKUP($D41,Trekkers!$A:$V,COLUMN(Trekkers!$H$5),FALSE))</f>
        <v>9.7000000000000011</v>
      </c>
      <c r="BE41" s="414">
        <f>IF($D41="",0,VLOOKUP($D41,Trekkers!$A:$V,COLUMN(Trekkers!$I$5),FALSE)/$G$8*$E$8)</f>
        <v>58.150000000000006</v>
      </c>
      <c r="BF41" s="415">
        <f t="shared" si="25"/>
        <v>135.85000000000002</v>
      </c>
      <c r="BG41" s="416">
        <f t="shared" si="26"/>
        <v>347.00750000000005</v>
      </c>
      <c r="BH41" s="417"/>
      <c r="BI41" s="418">
        <f t="shared" si="0"/>
        <v>505</v>
      </c>
      <c r="BJ41" s="414">
        <f>IF($I41=0,0,VLOOKUP($I41,'Implemente &amp; Waens'!$A:$Z,COLUMN('Implemente &amp; Waens'!M$5),FALSE))</f>
        <v>137.80000000000001</v>
      </c>
      <c r="BK41" s="414">
        <f>IF($I41=0,0,VLOOKUP($I41,'Implemente &amp; Waens'!$A:$Z,COLUMN('Implemente &amp; Waens'!N$5),FALSE))</f>
        <v>0</v>
      </c>
      <c r="BL41" s="415">
        <f t="shared" si="27"/>
        <v>137.80000000000001</v>
      </c>
      <c r="BM41" s="414">
        <f>IF($I41=0,0,VLOOKUP($I41,'Implemente &amp; Waens'!$A:$Z,COLUMN('Implemente &amp; Waens'!I$5),FALSE)*$E$9/100)</f>
        <v>155.05000000000001</v>
      </c>
      <c r="BN41" s="414">
        <f>IF($I41=0,0,VLOOKUP($I41,'Implemente &amp; Waens'!$A:$Z,COLUMN('Implemente &amp; Waens'!J$5),FALSE))</f>
        <v>18.95</v>
      </c>
      <c r="BO41" s="414">
        <f>IF($I41=0,0,VLOOKUP($I41,'Implemente &amp; Waens'!$A:$Z,COLUMN('Implemente &amp; Waens'!K$5),FALSE)/$G$8*$E$8)</f>
        <v>132.65</v>
      </c>
      <c r="BP41" s="415">
        <f t="shared" si="28"/>
        <v>306.64999999999998</v>
      </c>
      <c r="BQ41" s="416">
        <f t="shared" si="29"/>
        <v>444.45</v>
      </c>
    </row>
    <row r="42" spans="2:69">
      <c r="B42" s="397"/>
      <c r="C42" s="731" t="s">
        <v>1267</v>
      </c>
      <c r="D42" s="398">
        <f>Trekkers!A50</f>
        <v>50</v>
      </c>
      <c r="E42" s="399">
        <f>IF($D42="",0,VLOOKUP($D42,Trekkers!$A:$U,COLUMN(Trekkers!C$5),FALSE))</f>
        <v>70</v>
      </c>
      <c r="F42" s="399">
        <f>IF($D42="",0,VLOOKUP($D42,Trekkers!$A:$U,COLUMN(Trekkers!D$5),FALSE))</f>
        <v>93.87154627165198</v>
      </c>
      <c r="G42" s="399" t="str">
        <f>IF($D42="",0,VLOOKUP($D42,Trekkers!$A:$U,COLUMN(Trekkers!E$5),FALSE))</f>
        <v>4W</v>
      </c>
      <c r="H42" s="815" t="s">
        <v>133</v>
      </c>
      <c r="I42" s="398">
        <f>'Implemente &amp; Waens'!A$505</f>
        <v>505</v>
      </c>
      <c r="J42" s="400" t="str">
        <f>IF($I42=0,0,VLOOKUP($I42,'Implemente &amp; Waens'!$A:$Z,COLUMN('Implemente &amp; Waens'!C$5),FALSE))</f>
        <v>Klein vierkant baler 5060</v>
      </c>
      <c r="K42" s="967">
        <v>7</v>
      </c>
      <c r="L42" s="729">
        <v>5.5</v>
      </c>
      <c r="M42" s="730">
        <v>0.6</v>
      </c>
      <c r="N42" s="402">
        <f t="shared" ref="N42:N55" si="82">IF(COUNT(K42:M42)=3,10000/((K42*(L42*1000))*M42),0)</f>
        <v>0.4329004329004329</v>
      </c>
      <c r="O42" s="403">
        <f t="shared" ref="O42:O55" si="83">K42*L42*M42/10</f>
        <v>2.3099999999999996</v>
      </c>
      <c r="P42" s="915">
        <f t="shared" si="30"/>
        <v>153.04112554112555</v>
      </c>
      <c r="Q42" s="915">
        <f t="shared" si="31"/>
        <v>201.32034632034635</v>
      </c>
      <c r="R42" s="915">
        <f t="shared" si="32"/>
        <v>242.61904761904765</v>
      </c>
      <c r="S42" s="923">
        <f t="shared" si="33"/>
        <v>283.91774891774895</v>
      </c>
      <c r="T42" s="917">
        <f t="shared" si="34"/>
        <v>4.7727272727272725</v>
      </c>
      <c r="U42" s="919">
        <f t="shared" si="35"/>
        <v>58.704545454545453</v>
      </c>
      <c r="V42" s="923">
        <f t="shared" si="36"/>
        <v>342.62229437229439</v>
      </c>
      <c r="X42" s="404">
        <f t="shared" ref="X42:X55" si="84">BB42</f>
        <v>211.15750000000003</v>
      </c>
      <c r="Y42" s="405">
        <f t="shared" ref="Y42:Y55" si="85">BF42</f>
        <v>135.85000000000002</v>
      </c>
      <c r="Z42" s="406">
        <f t="shared" ref="Z42:Z55" si="86">BG42</f>
        <v>347.00750000000005</v>
      </c>
      <c r="AA42" s="404">
        <f t="shared" ref="AA42:AA55" si="87">BL42</f>
        <v>137.80000000000001</v>
      </c>
      <c r="AB42" s="405">
        <f t="shared" ref="AB42:AB55" si="88">BP42</f>
        <v>306.64999999999998</v>
      </c>
      <c r="AC42" s="407">
        <f t="shared" ref="AC42:AC55" si="89">BQ42</f>
        <v>444.45</v>
      </c>
      <c r="AD42" s="408">
        <f t="shared" ref="AD42:AD55" si="90">AE42-AY42</f>
        <v>655.84999999999991</v>
      </c>
      <c r="AE42" s="409">
        <f t="shared" ref="AE42:AE55" si="91">SUM(Z42,AC42)</f>
        <v>791.45749999999998</v>
      </c>
      <c r="AF42" s="410">
        <f t="shared" si="9"/>
        <v>0.4329004329004329</v>
      </c>
      <c r="AG42" s="411">
        <f t="shared" ref="AG42:AG55" si="92">AH42-AM42</f>
        <v>283.91774891774895</v>
      </c>
      <c r="AH42" s="412">
        <f t="shared" ref="AH42:AH55" si="93">AU42</f>
        <v>342.62229437229439</v>
      </c>
      <c r="AJ42" s="730">
        <v>1</v>
      </c>
      <c r="AL42" s="413">
        <f t="shared" si="12"/>
        <v>4.7727272727272725</v>
      </c>
      <c r="AM42" s="414">
        <f t="shared" ref="AM42:AM55" si="94">AL42*$E$7</f>
        <v>58.704545454545453</v>
      </c>
      <c r="AN42" s="414">
        <f t="shared" si="14"/>
        <v>92.359307359307365</v>
      </c>
      <c r="AO42" s="414">
        <f t="shared" si="15"/>
        <v>0</v>
      </c>
      <c r="AP42" s="415">
        <f t="shared" ref="AP42:AP55" si="95">SUM(AM42:AO42)</f>
        <v>151.0638528138528</v>
      </c>
      <c r="AQ42" s="414">
        <f t="shared" si="17"/>
        <v>96.558441558441558</v>
      </c>
      <c r="AR42" s="414">
        <f t="shared" si="18"/>
        <v>12.402597402597403</v>
      </c>
      <c r="AS42" s="414">
        <f t="shared" si="19"/>
        <v>82.597402597402606</v>
      </c>
      <c r="AT42" s="415">
        <f t="shared" ref="AT42:AT55" si="96">SUM(AQ42:AS42)</f>
        <v>191.55844155844159</v>
      </c>
      <c r="AU42" s="416">
        <f t="shared" ref="AU42:AU55" si="97">AP42+AT42</f>
        <v>342.62229437229439</v>
      </c>
      <c r="AV42" s="417"/>
      <c r="AW42" s="418">
        <f t="shared" si="22"/>
        <v>50</v>
      </c>
      <c r="AX42" s="413">
        <f>IF(D42="",0,E42*VLOOKUP(H42,Trekkers!$E$141:$L$143,COLUMNS(Trekkers!$E$141:$L$141),FALSE)*AJ42)</f>
        <v>11.025</v>
      </c>
      <c r="AY42" s="414">
        <f t="shared" ref="AY42:AY55" si="98">AX42*$E$7</f>
        <v>135.60750000000002</v>
      </c>
      <c r="AZ42" s="414">
        <f>IF(D42="",0,VLOOKUP($D42,Trekkers!$A:$V,COLUMN(Trekkers!$K$5),FALSE))</f>
        <v>75.55</v>
      </c>
      <c r="BA42" s="414">
        <f>0</f>
        <v>0</v>
      </c>
      <c r="BB42" s="415">
        <f t="shared" ref="BB42:BB55" si="99">SUM(AY42:BA42)</f>
        <v>211.15750000000003</v>
      </c>
      <c r="BC42" s="414">
        <f>IF($D42="",0,VLOOKUP($D42,Trekkers!$A:$V,COLUMN(Trekkers!$G$5),FALSE)*$E$9/100)</f>
        <v>68</v>
      </c>
      <c r="BD42" s="414">
        <f>IF($D42="",0,VLOOKUP($D42,Trekkers!$A:$V,COLUMN(Trekkers!$H$5),FALSE))</f>
        <v>9.7000000000000011</v>
      </c>
      <c r="BE42" s="414">
        <f>IF($D42="",0,VLOOKUP($D42,Trekkers!$A:$V,COLUMN(Trekkers!$I$5),FALSE)/$G$8*$E$8)</f>
        <v>58.150000000000006</v>
      </c>
      <c r="BF42" s="415">
        <f t="shared" ref="BF42:BF55" si="100">SUM(BC42:BE42)</f>
        <v>135.85000000000002</v>
      </c>
      <c r="BG42" s="416">
        <f t="shared" ref="BG42:BG55" si="101">BB42+BF42</f>
        <v>347.00750000000005</v>
      </c>
      <c r="BH42" s="417"/>
      <c r="BI42" s="418">
        <f t="shared" si="0"/>
        <v>505</v>
      </c>
      <c r="BJ42" s="414">
        <f>IF($I42=0,0,VLOOKUP($I42,'Implemente &amp; Waens'!$A:$Z,COLUMN('Implemente &amp; Waens'!M$5),FALSE))</f>
        <v>137.80000000000001</v>
      </c>
      <c r="BK42" s="414">
        <f>IF($I42=0,0,VLOOKUP($I42,'Implemente &amp; Waens'!$A:$Z,COLUMN('Implemente &amp; Waens'!N$5),FALSE))</f>
        <v>0</v>
      </c>
      <c r="BL42" s="415">
        <f t="shared" ref="BL42:BL55" si="102">SUM(BJ42:BK42)</f>
        <v>137.80000000000001</v>
      </c>
      <c r="BM42" s="414">
        <f>IF($I42=0,0,VLOOKUP($I42,'Implemente &amp; Waens'!$A:$Z,COLUMN('Implemente &amp; Waens'!I$5),FALSE)*$E$9/100)</f>
        <v>155.05000000000001</v>
      </c>
      <c r="BN42" s="414">
        <f>IF($I42=0,0,VLOOKUP($I42,'Implemente &amp; Waens'!$A:$Z,COLUMN('Implemente &amp; Waens'!J$5),FALSE))</f>
        <v>18.95</v>
      </c>
      <c r="BO42" s="414">
        <f>IF($I42=0,0,VLOOKUP($I42,'Implemente &amp; Waens'!$A:$Z,COLUMN('Implemente &amp; Waens'!K$5),FALSE)/$G$8*$E$8)</f>
        <v>132.65</v>
      </c>
      <c r="BP42" s="415">
        <f t="shared" ref="BP42:BP55" si="103">SUM(BM42:BO42)</f>
        <v>306.64999999999998</v>
      </c>
      <c r="BQ42" s="416">
        <f t="shared" ref="BQ42:BQ55" si="104">SUM(BL42,BP42)</f>
        <v>444.45</v>
      </c>
    </row>
    <row r="43" spans="2:69">
      <c r="B43" s="397"/>
      <c r="C43" s="731" t="s">
        <v>1268</v>
      </c>
      <c r="D43" s="398">
        <f>Trekkers!A50</f>
        <v>50</v>
      </c>
      <c r="E43" s="399">
        <f>IF($D43="",0,VLOOKUP($D43,Trekkers!$A:$U,COLUMN(Trekkers!C$5),FALSE))</f>
        <v>70</v>
      </c>
      <c r="F43" s="399">
        <f>IF($D43="",0,VLOOKUP($D43,Trekkers!$A:$U,COLUMN(Trekkers!D$5),FALSE))</f>
        <v>93.87154627165198</v>
      </c>
      <c r="G43" s="399" t="str">
        <f>IF($D43="",0,VLOOKUP($D43,Trekkers!$A:$U,COLUMN(Trekkers!E$5),FALSE))</f>
        <v>4W</v>
      </c>
      <c r="H43" s="815" t="s">
        <v>133</v>
      </c>
      <c r="I43" s="398">
        <f>'Implemente &amp; Waens'!A$527</f>
        <v>527</v>
      </c>
      <c r="J43" s="400" t="str">
        <f>IF($I43=0,0,VLOOKUP($I43,'Implemente &amp; Waens'!$A:$Z,COLUMN('Implemente &amp; Waens'!C$5),FALSE))</f>
        <v>Rondebaler 1.55m Deursnee - 2.15m Optel (Net)</v>
      </c>
      <c r="K43" s="967">
        <v>3.5</v>
      </c>
      <c r="L43" s="729">
        <v>9</v>
      </c>
      <c r="M43" s="730">
        <v>0.5</v>
      </c>
      <c r="N43" s="402">
        <f t="shared" si="82"/>
        <v>0.63492063492063489</v>
      </c>
      <c r="O43" s="403">
        <f t="shared" si="83"/>
        <v>1.575</v>
      </c>
      <c r="P43" s="915">
        <f t="shared" si="30"/>
        <v>460.82539682539687</v>
      </c>
      <c r="Q43" s="915">
        <f t="shared" si="31"/>
        <v>609.84126984126988</v>
      </c>
      <c r="R43" s="915">
        <f t="shared" si="32"/>
        <v>737.31746031746036</v>
      </c>
      <c r="S43" s="923">
        <f t="shared" si="33"/>
        <v>864.79365079365084</v>
      </c>
      <c r="T43" s="917">
        <f t="shared" si="34"/>
        <v>7</v>
      </c>
      <c r="U43" s="919">
        <f t="shared" si="35"/>
        <v>86.100000000000009</v>
      </c>
      <c r="V43" s="923">
        <f t="shared" si="36"/>
        <v>950.89365079365086</v>
      </c>
      <c r="X43" s="404">
        <f t="shared" si="84"/>
        <v>211.15750000000003</v>
      </c>
      <c r="Y43" s="405">
        <f t="shared" si="85"/>
        <v>135.85000000000002</v>
      </c>
      <c r="Z43" s="406">
        <f t="shared" si="86"/>
        <v>347.00750000000005</v>
      </c>
      <c r="AA43" s="404">
        <f t="shared" si="87"/>
        <v>356.8</v>
      </c>
      <c r="AB43" s="405">
        <f t="shared" si="88"/>
        <v>793.85</v>
      </c>
      <c r="AC43" s="407">
        <f t="shared" si="89"/>
        <v>1150.6500000000001</v>
      </c>
      <c r="AD43" s="408">
        <f t="shared" si="90"/>
        <v>1362.0500000000002</v>
      </c>
      <c r="AE43" s="409">
        <f t="shared" si="91"/>
        <v>1497.6575000000003</v>
      </c>
      <c r="AF43" s="410">
        <f t="shared" si="9"/>
        <v>0.63492063492063489</v>
      </c>
      <c r="AG43" s="411">
        <f t="shared" si="92"/>
        <v>864.79365079365084</v>
      </c>
      <c r="AH43" s="412">
        <f t="shared" si="93"/>
        <v>950.89365079365086</v>
      </c>
      <c r="AJ43" s="730">
        <v>1</v>
      </c>
      <c r="AL43" s="413">
        <f t="shared" si="12"/>
        <v>7</v>
      </c>
      <c r="AM43" s="414">
        <f t="shared" si="94"/>
        <v>86.100000000000009</v>
      </c>
      <c r="AN43" s="414">
        <f t="shared" si="14"/>
        <v>274.50793650793651</v>
      </c>
      <c r="AO43" s="414">
        <f t="shared" si="15"/>
        <v>0</v>
      </c>
      <c r="AP43" s="415">
        <f t="shared" si="95"/>
        <v>360.60793650793653</v>
      </c>
      <c r="AQ43" s="414">
        <f t="shared" si="17"/>
        <v>298.03174603174602</v>
      </c>
      <c r="AR43" s="414">
        <f t="shared" si="18"/>
        <v>37.301587301587304</v>
      </c>
      <c r="AS43" s="414">
        <f t="shared" si="19"/>
        <v>254.95238095238099</v>
      </c>
      <c r="AT43" s="415">
        <f t="shared" si="96"/>
        <v>590.28571428571433</v>
      </c>
      <c r="AU43" s="416">
        <f t="shared" si="97"/>
        <v>950.89365079365086</v>
      </c>
      <c r="AV43" s="417"/>
      <c r="AW43" s="418">
        <f t="shared" si="22"/>
        <v>50</v>
      </c>
      <c r="AX43" s="413">
        <f>IF(D43="",0,E43*VLOOKUP(H43,Trekkers!$E$141:$L$143,COLUMNS(Trekkers!$E$141:$L$141),FALSE)*AJ43)</f>
        <v>11.025</v>
      </c>
      <c r="AY43" s="414">
        <f t="shared" si="98"/>
        <v>135.60750000000002</v>
      </c>
      <c r="AZ43" s="414">
        <f>IF(D43="",0,VLOOKUP($D43,Trekkers!$A:$V,COLUMN(Trekkers!$K$5),FALSE))</f>
        <v>75.55</v>
      </c>
      <c r="BA43" s="414">
        <f>0</f>
        <v>0</v>
      </c>
      <c r="BB43" s="415">
        <f t="shared" si="99"/>
        <v>211.15750000000003</v>
      </c>
      <c r="BC43" s="414">
        <f>IF($D43="",0,VLOOKUP($D43,Trekkers!$A:$V,COLUMN(Trekkers!$G$5),FALSE)*$E$9/100)</f>
        <v>68</v>
      </c>
      <c r="BD43" s="414">
        <f>IF($D43="",0,VLOOKUP($D43,Trekkers!$A:$V,COLUMN(Trekkers!$H$5),FALSE))</f>
        <v>9.7000000000000011</v>
      </c>
      <c r="BE43" s="414">
        <f>IF($D43="",0,VLOOKUP($D43,Trekkers!$A:$V,COLUMN(Trekkers!$I$5),FALSE)/$G$8*$E$8)</f>
        <v>58.150000000000006</v>
      </c>
      <c r="BF43" s="415">
        <f t="shared" si="100"/>
        <v>135.85000000000002</v>
      </c>
      <c r="BG43" s="416">
        <f t="shared" si="101"/>
        <v>347.00750000000005</v>
      </c>
      <c r="BH43" s="417"/>
      <c r="BI43" s="418">
        <f t="shared" si="0"/>
        <v>527</v>
      </c>
      <c r="BJ43" s="414">
        <f>IF($I43=0,0,VLOOKUP($I43,'Implemente &amp; Waens'!$A:$Z,COLUMN('Implemente &amp; Waens'!M$5),FALSE))</f>
        <v>356.8</v>
      </c>
      <c r="BK43" s="414">
        <f>IF($I43=0,0,VLOOKUP($I43,'Implemente &amp; Waens'!$A:$Z,COLUMN('Implemente &amp; Waens'!N$5),FALSE))</f>
        <v>0</v>
      </c>
      <c r="BL43" s="415">
        <f t="shared" si="102"/>
        <v>356.8</v>
      </c>
      <c r="BM43" s="414">
        <f>IF($I43=0,0,VLOOKUP($I43,'Implemente &amp; Waens'!$A:$Z,COLUMN('Implemente &amp; Waens'!I$5),FALSE)*$E$9/100)</f>
        <v>401.4</v>
      </c>
      <c r="BN43" s="414">
        <f>IF($I43=0,0,VLOOKUP($I43,'Implemente &amp; Waens'!$A:$Z,COLUMN('Implemente &amp; Waens'!J$5),FALSE))</f>
        <v>49.050000000000004</v>
      </c>
      <c r="BO43" s="414">
        <f>IF($I43=0,0,VLOOKUP($I43,'Implemente &amp; Waens'!$A:$Z,COLUMN('Implemente &amp; Waens'!K$5),FALSE)/$G$8*$E$8)</f>
        <v>343.40000000000003</v>
      </c>
      <c r="BP43" s="415">
        <f t="shared" si="103"/>
        <v>793.85</v>
      </c>
      <c r="BQ43" s="416">
        <f t="shared" si="104"/>
        <v>1150.6500000000001</v>
      </c>
    </row>
    <row r="44" spans="2:69">
      <c r="B44" s="397"/>
      <c r="C44" s="731" t="s">
        <v>1269</v>
      </c>
      <c r="D44" s="398">
        <f>Trekkers!A50</f>
        <v>50</v>
      </c>
      <c r="E44" s="399">
        <f>IF($D44="",0,VLOOKUP($D44,Trekkers!$A:$U,COLUMN(Trekkers!C$5),FALSE))</f>
        <v>70</v>
      </c>
      <c r="F44" s="399">
        <f>IF($D44="",0,VLOOKUP($D44,Trekkers!$A:$U,COLUMN(Trekkers!D$5),FALSE))</f>
        <v>93.87154627165198</v>
      </c>
      <c r="G44" s="399" t="str">
        <f>IF($D44="",0,VLOOKUP($D44,Trekkers!$A:$U,COLUMN(Trekkers!E$5),FALSE))</f>
        <v>4W</v>
      </c>
      <c r="H44" s="815" t="s">
        <v>133</v>
      </c>
      <c r="I44" s="398">
        <f>'Implemente &amp; Waens'!A$527</f>
        <v>527</v>
      </c>
      <c r="J44" s="400" t="str">
        <f>IF($I44=0,0,VLOOKUP($I44,'Implemente &amp; Waens'!$A:$Z,COLUMN('Implemente &amp; Waens'!C$5),FALSE))</f>
        <v>Rondebaler 1.55m Deursnee - 2.15m Optel (Net)</v>
      </c>
      <c r="K44" s="967">
        <v>7</v>
      </c>
      <c r="L44" s="729">
        <v>9</v>
      </c>
      <c r="M44" s="730">
        <v>0.6</v>
      </c>
      <c r="N44" s="402">
        <f t="shared" si="82"/>
        <v>0.26455026455026454</v>
      </c>
      <c r="O44" s="403">
        <f t="shared" si="83"/>
        <v>3.78</v>
      </c>
      <c r="P44" s="915">
        <f t="shared" si="30"/>
        <v>192.01058201058203</v>
      </c>
      <c r="Q44" s="915">
        <f t="shared" si="31"/>
        <v>254.10052910052912</v>
      </c>
      <c r="R44" s="915">
        <f t="shared" si="32"/>
        <v>307.21560846560845</v>
      </c>
      <c r="S44" s="923">
        <f t="shared" si="33"/>
        <v>360.33068783068785</v>
      </c>
      <c r="T44" s="917">
        <f t="shared" si="34"/>
        <v>2.9166666666666665</v>
      </c>
      <c r="U44" s="919">
        <f t="shared" si="35"/>
        <v>35.875</v>
      </c>
      <c r="V44" s="923">
        <f t="shared" si="36"/>
        <v>396.20568783068785</v>
      </c>
      <c r="X44" s="404">
        <f t="shared" si="84"/>
        <v>211.15750000000003</v>
      </c>
      <c r="Y44" s="405">
        <f t="shared" si="85"/>
        <v>135.85000000000002</v>
      </c>
      <c r="Z44" s="406">
        <f t="shared" si="86"/>
        <v>347.00750000000005</v>
      </c>
      <c r="AA44" s="404">
        <f t="shared" si="87"/>
        <v>356.8</v>
      </c>
      <c r="AB44" s="405">
        <f t="shared" si="88"/>
        <v>793.85</v>
      </c>
      <c r="AC44" s="407">
        <f t="shared" si="89"/>
        <v>1150.6500000000001</v>
      </c>
      <c r="AD44" s="408">
        <f t="shared" si="90"/>
        <v>1362.0500000000002</v>
      </c>
      <c r="AE44" s="409">
        <f t="shared" si="91"/>
        <v>1497.6575000000003</v>
      </c>
      <c r="AF44" s="410">
        <f t="shared" si="9"/>
        <v>0.26455026455026454</v>
      </c>
      <c r="AG44" s="411">
        <f t="shared" si="92"/>
        <v>360.33068783068785</v>
      </c>
      <c r="AH44" s="412">
        <f t="shared" si="93"/>
        <v>396.20568783068785</v>
      </c>
      <c r="AJ44" s="730">
        <v>1</v>
      </c>
      <c r="AL44" s="413">
        <f t="shared" si="12"/>
        <v>2.9166666666666665</v>
      </c>
      <c r="AM44" s="414">
        <f t="shared" si="94"/>
        <v>35.875</v>
      </c>
      <c r="AN44" s="414">
        <f t="shared" si="14"/>
        <v>114.37830687830687</v>
      </c>
      <c r="AO44" s="414">
        <f t="shared" si="15"/>
        <v>0</v>
      </c>
      <c r="AP44" s="415">
        <f t="shared" si="95"/>
        <v>150.25330687830689</v>
      </c>
      <c r="AQ44" s="414">
        <f t="shared" si="17"/>
        <v>124.17989417989416</v>
      </c>
      <c r="AR44" s="414">
        <f t="shared" si="18"/>
        <v>15.542328042328043</v>
      </c>
      <c r="AS44" s="414">
        <f t="shared" si="19"/>
        <v>106.23015873015875</v>
      </c>
      <c r="AT44" s="415">
        <f t="shared" si="96"/>
        <v>245.95238095238096</v>
      </c>
      <c r="AU44" s="416">
        <f t="shared" si="97"/>
        <v>396.20568783068785</v>
      </c>
      <c r="AV44" s="417"/>
      <c r="AW44" s="418">
        <f t="shared" si="22"/>
        <v>50</v>
      </c>
      <c r="AX44" s="413">
        <f>IF(D44="",0,E44*VLOOKUP(H44,Trekkers!$E$141:$L$143,COLUMNS(Trekkers!$E$141:$L$141),FALSE)*AJ44)</f>
        <v>11.025</v>
      </c>
      <c r="AY44" s="414">
        <f t="shared" si="98"/>
        <v>135.60750000000002</v>
      </c>
      <c r="AZ44" s="414">
        <f>IF(D44="",0,VLOOKUP($D44,Trekkers!$A:$V,COLUMN(Trekkers!$K$5),FALSE))</f>
        <v>75.55</v>
      </c>
      <c r="BA44" s="414">
        <f>0</f>
        <v>0</v>
      </c>
      <c r="BB44" s="415">
        <f t="shared" si="99"/>
        <v>211.15750000000003</v>
      </c>
      <c r="BC44" s="414">
        <f>IF($D44="",0,VLOOKUP($D44,Trekkers!$A:$V,COLUMN(Trekkers!$G$5),FALSE)*$E$9/100)</f>
        <v>68</v>
      </c>
      <c r="BD44" s="414">
        <f>IF($D44="",0,VLOOKUP($D44,Trekkers!$A:$V,COLUMN(Trekkers!$H$5),FALSE))</f>
        <v>9.7000000000000011</v>
      </c>
      <c r="BE44" s="414">
        <f>IF($D44="",0,VLOOKUP($D44,Trekkers!$A:$V,COLUMN(Trekkers!$I$5),FALSE)/$G$8*$E$8)</f>
        <v>58.150000000000006</v>
      </c>
      <c r="BF44" s="415">
        <f t="shared" si="100"/>
        <v>135.85000000000002</v>
      </c>
      <c r="BG44" s="416">
        <f t="shared" si="101"/>
        <v>347.00750000000005</v>
      </c>
      <c r="BH44" s="417"/>
      <c r="BI44" s="418">
        <f t="shared" si="0"/>
        <v>527</v>
      </c>
      <c r="BJ44" s="414">
        <f>IF($I44=0,0,VLOOKUP($I44,'Implemente &amp; Waens'!$A:$Z,COLUMN('Implemente &amp; Waens'!M$5),FALSE))</f>
        <v>356.8</v>
      </c>
      <c r="BK44" s="414">
        <f>IF($I44=0,0,VLOOKUP($I44,'Implemente &amp; Waens'!$A:$Z,COLUMN('Implemente &amp; Waens'!N$5),FALSE))</f>
        <v>0</v>
      </c>
      <c r="BL44" s="415">
        <f t="shared" si="102"/>
        <v>356.8</v>
      </c>
      <c r="BM44" s="414">
        <f>IF($I44=0,0,VLOOKUP($I44,'Implemente &amp; Waens'!$A:$Z,COLUMN('Implemente &amp; Waens'!I$5),FALSE)*$E$9/100)</f>
        <v>401.4</v>
      </c>
      <c r="BN44" s="414">
        <f>IF($I44=0,0,VLOOKUP($I44,'Implemente &amp; Waens'!$A:$Z,COLUMN('Implemente &amp; Waens'!J$5),FALSE))</f>
        <v>49.050000000000004</v>
      </c>
      <c r="BO44" s="414">
        <f>IF($I44=0,0,VLOOKUP($I44,'Implemente &amp; Waens'!$A:$Z,COLUMN('Implemente &amp; Waens'!K$5),FALSE)/$G$8*$E$8)</f>
        <v>343.40000000000003</v>
      </c>
      <c r="BP44" s="415">
        <f t="shared" si="103"/>
        <v>793.85</v>
      </c>
      <c r="BQ44" s="416">
        <f t="shared" si="104"/>
        <v>1150.6500000000001</v>
      </c>
    </row>
    <row r="45" spans="2:69">
      <c r="B45" s="397"/>
      <c r="C45" s="731" t="s">
        <v>1270</v>
      </c>
      <c r="D45" s="398">
        <f>Trekkers!A55</f>
        <v>55</v>
      </c>
      <c r="E45" s="399">
        <f>IF($D45="",0,VLOOKUP($D45,Trekkers!$A:$U,COLUMN(Trekkers!C$5),FALSE))</f>
        <v>95</v>
      </c>
      <c r="F45" s="399">
        <f>IF($D45="",0,VLOOKUP($D45,Trekkers!$A:$U,COLUMN(Trekkers!D$5),FALSE))</f>
        <v>127.39709851152769</v>
      </c>
      <c r="G45" s="399" t="str">
        <f>IF($D45="",0,VLOOKUP($D45,Trekkers!$A:$U,COLUMN(Trekkers!E$5),FALSE))</f>
        <v>4W</v>
      </c>
      <c r="H45" s="815" t="s">
        <v>132</v>
      </c>
      <c r="I45" s="398">
        <f>'Implemente &amp; Waens'!A$511</f>
        <v>511</v>
      </c>
      <c r="J45" s="400" t="str">
        <f>IF($I45=0,0,VLOOKUP($I45,'Implemente &amp; Waens'!$A:$Z,COLUMN('Implemente &amp; Waens'!C$5),FALSE))</f>
        <v>Groot vierkant baler (120 X 70) (Standaard)</v>
      </c>
      <c r="K45" s="967">
        <v>4</v>
      </c>
      <c r="L45" s="729">
        <v>10</v>
      </c>
      <c r="M45" s="730">
        <v>0.75</v>
      </c>
      <c r="N45" s="402">
        <f t="shared" si="82"/>
        <v>0.33333333333333331</v>
      </c>
      <c r="O45" s="403">
        <f t="shared" si="83"/>
        <v>3</v>
      </c>
      <c r="P45" s="915">
        <f t="shared" si="30"/>
        <v>490.54166666666669</v>
      </c>
      <c r="Q45" s="915">
        <f t="shared" si="31"/>
        <v>650.08333333333337</v>
      </c>
      <c r="R45" s="915">
        <f t="shared" si="32"/>
        <v>786.58333333333337</v>
      </c>
      <c r="S45" s="923">
        <f t="shared" si="33"/>
        <v>923.08333333333337</v>
      </c>
      <c r="T45" s="917">
        <f t="shared" si="34"/>
        <v>5.6999999999999993</v>
      </c>
      <c r="U45" s="919">
        <f t="shared" si="35"/>
        <v>70.11</v>
      </c>
      <c r="V45" s="923">
        <f t="shared" si="36"/>
        <v>993.19333333333338</v>
      </c>
      <c r="X45" s="404">
        <f t="shared" si="84"/>
        <v>325.43</v>
      </c>
      <c r="Y45" s="405">
        <f t="shared" si="85"/>
        <v>207</v>
      </c>
      <c r="Z45" s="406">
        <f t="shared" si="86"/>
        <v>532.43000000000006</v>
      </c>
      <c r="AA45" s="404">
        <f t="shared" si="87"/>
        <v>758.80000000000007</v>
      </c>
      <c r="AB45" s="405">
        <f t="shared" si="88"/>
        <v>1688.3500000000001</v>
      </c>
      <c r="AC45" s="407">
        <f t="shared" si="89"/>
        <v>2447.15</v>
      </c>
      <c r="AD45" s="408">
        <f t="shared" si="90"/>
        <v>2769.25</v>
      </c>
      <c r="AE45" s="409">
        <f t="shared" si="91"/>
        <v>2979.58</v>
      </c>
      <c r="AF45" s="410">
        <f t="shared" si="9"/>
        <v>0.33333333333333331</v>
      </c>
      <c r="AG45" s="411">
        <f t="shared" si="92"/>
        <v>923.08333333333337</v>
      </c>
      <c r="AH45" s="412">
        <f t="shared" si="93"/>
        <v>993.19333333333338</v>
      </c>
      <c r="AJ45" s="730">
        <v>1</v>
      </c>
      <c r="AL45" s="413">
        <f t="shared" si="12"/>
        <v>5.6999999999999993</v>
      </c>
      <c r="AM45" s="414">
        <f t="shared" si="94"/>
        <v>70.11</v>
      </c>
      <c r="AN45" s="414">
        <f t="shared" si="14"/>
        <v>291.3</v>
      </c>
      <c r="AO45" s="414">
        <f t="shared" si="15"/>
        <v>0</v>
      </c>
      <c r="AP45" s="415">
        <f t="shared" si="95"/>
        <v>361.41</v>
      </c>
      <c r="AQ45" s="414">
        <f t="shared" si="17"/>
        <v>319.08333333333337</v>
      </c>
      <c r="AR45" s="414">
        <f t="shared" si="18"/>
        <v>39.700000000000003</v>
      </c>
      <c r="AS45" s="414">
        <f t="shared" si="19"/>
        <v>273</v>
      </c>
      <c r="AT45" s="415">
        <f t="shared" si="96"/>
        <v>631.7833333333333</v>
      </c>
      <c r="AU45" s="416">
        <f t="shared" si="97"/>
        <v>993.19333333333338</v>
      </c>
      <c r="AV45" s="417"/>
      <c r="AW45" s="418">
        <f t="shared" si="22"/>
        <v>55</v>
      </c>
      <c r="AX45" s="413">
        <f>IF(D45="",0,E45*VLOOKUP(H45,Trekkers!$E$141:$L$143,COLUMNS(Trekkers!$E$141:$L$141),FALSE)*AJ45)</f>
        <v>17.099999999999998</v>
      </c>
      <c r="AY45" s="414">
        <f t="shared" si="98"/>
        <v>210.32999999999998</v>
      </c>
      <c r="AZ45" s="414">
        <f>IF(D45="",0,VLOOKUP($D45,Trekkers!$A:$V,COLUMN(Trekkers!$K$5),FALSE))</f>
        <v>115.10000000000001</v>
      </c>
      <c r="BA45" s="414">
        <f>0</f>
        <v>0</v>
      </c>
      <c r="BB45" s="415">
        <f t="shared" si="99"/>
        <v>325.43</v>
      </c>
      <c r="BC45" s="414">
        <f>IF($D45="",0,VLOOKUP($D45,Trekkers!$A:$V,COLUMN(Trekkers!$G$5),FALSE)*$E$9/100)</f>
        <v>103.6</v>
      </c>
      <c r="BD45" s="414">
        <f>IF($D45="",0,VLOOKUP($D45,Trekkers!$A:$V,COLUMN(Trekkers!$H$5),FALSE))</f>
        <v>14.75</v>
      </c>
      <c r="BE45" s="414">
        <f>IF($D45="",0,VLOOKUP($D45,Trekkers!$A:$V,COLUMN(Trekkers!$I$5),FALSE)/$G$8*$E$8)</f>
        <v>88.65</v>
      </c>
      <c r="BF45" s="415">
        <f t="shared" si="100"/>
        <v>207</v>
      </c>
      <c r="BG45" s="416">
        <f t="shared" si="101"/>
        <v>532.43000000000006</v>
      </c>
      <c r="BH45" s="417"/>
      <c r="BI45" s="418">
        <f t="shared" si="0"/>
        <v>511</v>
      </c>
      <c r="BJ45" s="414">
        <f>IF($I45=0,0,VLOOKUP($I45,'Implemente &amp; Waens'!$A:$Z,COLUMN('Implemente &amp; Waens'!M$5),FALSE))</f>
        <v>758.80000000000007</v>
      </c>
      <c r="BK45" s="414">
        <f>IF($I45=0,0,VLOOKUP($I45,'Implemente &amp; Waens'!$A:$Z,COLUMN('Implemente &amp; Waens'!N$5),FALSE))</f>
        <v>0</v>
      </c>
      <c r="BL45" s="415">
        <f t="shared" si="102"/>
        <v>758.80000000000007</v>
      </c>
      <c r="BM45" s="414">
        <f>IF($I45=0,0,VLOOKUP($I45,'Implemente &amp; Waens'!$A:$Z,COLUMN('Implemente &amp; Waens'!I$5),FALSE)*$E$9/100)</f>
        <v>853.65000000000009</v>
      </c>
      <c r="BN45" s="414">
        <f>IF($I45=0,0,VLOOKUP($I45,'Implemente &amp; Waens'!$A:$Z,COLUMN('Implemente &amp; Waens'!J$5),FALSE))</f>
        <v>104.35000000000001</v>
      </c>
      <c r="BO45" s="414">
        <f>IF($I45=0,0,VLOOKUP($I45,'Implemente &amp; Waens'!$A:$Z,COLUMN('Implemente &amp; Waens'!K$5),FALSE)/$G$8*$E$8)</f>
        <v>730.35</v>
      </c>
      <c r="BP45" s="415">
        <f t="shared" si="103"/>
        <v>1688.3500000000001</v>
      </c>
      <c r="BQ45" s="416">
        <f t="shared" si="104"/>
        <v>2447.15</v>
      </c>
    </row>
    <row r="46" spans="2:69">
      <c r="B46" s="397"/>
      <c r="C46" s="731" t="s">
        <v>1271</v>
      </c>
      <c r="D46" s="398">
        <f>Trekkers!A55</f>
        <v>55</v>
      </c>
      <c r="E46" s="399">
        <f>IF($D46="",0,VLOOKUP($D46,Trekkers!$A:$U,COLUMN(Trekkers!C$5),FALSE))</f>
        <v>95</v>
      </c>
      <c r="F46" s="399">
        <f>IF($D46="",0,VLOOKUP($D46,Trekkers!$A:$U,COLUMN(Trekkers!D$5),FALSE))</f>
        <v>127.39709851152769</v>
      </c>
      <c r="G46" s="399" t="str">
        <f>IF($D46="",0,VLOOKUP($D46,Trekkers!$A:$U,COLUMN(Trekkers!E$5),FALSE))</f>
        <v>4W</v>
      </c>
      <c r="H46" s="815" t="s">
        <v>132</v>
      </c>
      <c r="I46" s="398">
        <f>'Implemente &amp; Waens'!A$511</f>
        <v>511</v>
      </c>
      <c r="J46" s="400" t="str">
        <f>IF($I46=0,0,VLOOKUP($I46,'Implemente &amp; Waens'!$A:$Z,COLUMN('Implemente &amp; Waens'!C$5),FALSE))</f>
        <v>Groot vierkant baler (120 X 70) (Standaard)</v>
      </c>
      <c r="K46" s="967">
        <v>7</v>
      </c>
      <c r="L46" s="729">
        <v>10</v>
      </c>
      <c r="M46" s="730">
        <v>0.75</v>
      </c>
      <c r="N46" s="402">
        <f t="shared" si="82"/>
        <v>0.19047619047619047</v>
      </c>
      <c r="O46" s="403">
        <f t="shared" si="83"/>
        <v>5.25</v>
      </c>
      <c r="P46" s="915">
        <f t="shared" si="30"/>
        <v>280.30952380952368</v>
      </c>
      <c r="Q46" s="915">
        <f t="shared" si="31"/>
        <v>371.47619047619037</v>
      </c>
      <c r="R46" s="915">
        <f t="shared" si="32"/>
        <v>449.47619047619037</v>
      </c>
      <c r="S46" s="923">
        <f t="shared" si="33"/>
        <v>527.47619047619037</v>
      </c>
      <c r="T46" s="917">
        <f t="shared" si="34"/>
        <v>3.2571428571428567</v>
      </c>
      <c r="U46" s="919">
        <f t="shared" si="35"/>
        <v>40.062857142857141</v>
      </c>
      <c r="V46" s="923">
        <f t="shared" si="36"/>
        <v>567.53904761904755</v>
      </c>
      <c r="X46" s="404">
        <f t="shared" si="84"/>
        <v>325.43</v>
      </c>
      <c r="Y46" s="405">
        <f t="shared" si="85"/>
        <v>207</v>
      </c>
      <c r="Z46" s="406">
        <f t="shared" si="86"/>
        <v>532.43000000000006</v>
      </c>
      <c r="AA46" s="404">
        <f t="shared" si="87"/>
        <v>758.80000000000007</v>
      </c>
      <c r="AB46" s="405">
        <f t="shared" si="88"/>
        <v>1688.3500000000001</v>
      </c>
      <c r="AC46" s="407">
        <f t="shared" si="89"/>
        <v>2447.15</v>
      </c>
      <c r="AD46" s="408">
        <f t="shared" si="90"/>
        <v>2769.25</v>
      </c>
      <c r="AE46" s="409">
        <f t="shared" si="91"/>
        <v>2979.58</v>
      </c>
      <c r="AF46" s="410">
        <f t="shared" si="9"/>
        <v>0.19047619047619047</v>
      </c>
      <c r="AG46" s="411">
        <f t="shared" si="92"/>
        <v>527.47619047619037</v>
      </c>
      <c r="AH46" s="412">
        <f t="shared" si="93"/>
        <v>567.53904761904755</v>
      </c>
      <c r="AJ46" s="730">
        <v>1</v>
      </c>
      <c r="AL46" s="413">
        <f t="shared" si="12"/>
        <v>3.2571428571428567</v>
      </c>
      <c r="AM46" s="414">
        <f t="shared" si="94"/>
        <v>40.062857142857141</v>
      </c>
      <c r="AN46" s="414">
        <f t="shared" si="14"/>
        <v>166.45714285714286</v>
      </c>
      <c r="AO46" s="414">
        <f t="shared" si="15"/>
        <v>0</v>
      </c>
      <c r="AP46" s="415">
        <f t="shared" si="95"/>
        <v>206.51999999999998</v>
      </c>
      <c r="AQ46" s="414">
        <f t="shared" si="17"/>
        <v>182.33333333333334</v>
      </c>
      <c r="AR46" s="414">
        <f t="shared" si="18"/>
        <v>22.685714285714287</v>
      </c>
      <c r="AS46" s="414">
        <f t="shared" si="19"/>
        <v>156</v>
      </c>
      <c r="AT46" s="415">
        <f t="shared" si="96"/>
        <v>361.01904761904763</v>
      </c>
      <c r="AU46" s="416">
        <f t="shared" si="97"/>
        <v>567.53904761904755</v>
      </c>
      <c r="AV46" s="417"/>
      <c r="AW46" s="418">
        <f t="shared" si="22"/>
        <v>55</v>
      </c>
      <c r="AX46" s="413">
        <f>IF(D46="",0,E46*VLOOKUP(H46,Trekkers!$E$141:$L$143,COLUMNS(Trekkers!$E$141:$L$141),FALSE)*AJ46)</f>
        <v>17.099999999999998</v>
      </c>
      <c r="AY46" s="414">
        <f t="shared" si="98"/>
        <v>210.32999999999998</v>
      </c>
      <c r="AZ46" s="414">
        <f>IF(D46="",0,VLOOKUP($D46,Trekkers!$A:$V,COLUMN(Trekkers!$K$5),FALSE))</f>
        <v>115.10000000000001</v>
      </c>
      <c r="BA46" s="414">
        <f>0</f>
        <v>0</v>
      </c>
      <c r="BB46" s="415">
        <f t="shared" si="99"/>
        <v>325.43</v>
      </c>
      <c r="BC46" s="414">
        <f>IF($D46="",0,VLOOKUP($D46,Trekkers!$A:$V,COLUMN(Trekkers!$G$5),FALSE)*$E$9/100)</f>
        <v>103.6</v>
      </c>
      <c r="BD46" s="414">
        <f>IF($D46="",0,VLOOKUP($D46,Trekkers!$A:$V,COLUMN(Trekkers!$H$5),FALSE))</f>
        <v>14.75</v>
      </c>
      <c r="BE46" s="414">
        <f>IF($D46="",0,VLOOKUP($D46,Trekkers!$A:$V,COLUMN(Trekkers!$I$5),FALSE)/$G$8*$E$8)</f>
        <v>88.65</v>
      </c>
      <c r="BF46" s="415">
        <f t="shared" si="100"/>
        <v>207</v>
      </c>
      <c r="BG46" s="416">
        <f t="shared" si="101"/>
        <v>532.43000000000006</v>
      </c>
      <c r="BH46" s="417"/>
      <c r="BI46" s="418">
        <f t="shared" si="0"/>
        <v>511</v>
      </c>
      <c r="BJ46" s="414">
        <f>IF($I46=0,0,VLOOKUP($I46,'Implemente &amp; Waens'!$A:$Z,COLUMN('Implemente &amp; Waens'!M$5),FALSE))</f>
        <v>758.80000000000007</v>
      </c>
      <c r="BK46" s="414">
        <f>IF($I46=0,0,VLOOKUP($I46,'Implemente &amp; Waens'!$A:$Z,COLUMN('Implemente &amp; Waens'!N$5),FALSE))</f>
        <v>0</v>
      </c>
      <c r="BL46" s="415">
        <f t="shared" si="102"/>
        <v>758.80000000000007</v>
      </c>
      <c r="BM46" s="414">
        <f>IF($I46=0,0,VLOOKUP($I46,'Implemente &amp; Waens'!$A:$Z,COLUMN('Implemente &amp; Waens'!I$5),FALSE)*$E$9/100)</f>
        <v>853.65000000000009</v>
      </c>
      <c r="BN46" s="414">
        <f>IF($I46=0,0,VLOOKUP($I46,'Implemente &amp; Waens'!$A:$Z,COLUMN('Implemente &amp; Waens'!J$5),FALSE))</f>
        <v>104.35000000000001</v>
      </c>
      <c r="BO46" s="414">
        <f>IF($I46=0,0,VLOOKUP($I46,'Implemente &amp; Waens'!$A:$Z,COLUMN('Implemente &amp; Waens'!K$5),FALSE)/$G$8*$E$8)</f>
        <v>730.35</v>
      </c>
      <c r="BP46" s="415">
        <f t="shared" si="103"/>
        <v>1688.3500000000001</v>
      </c>
      <c r="BQ46" s="416">
        <f t="shared" si="104"/>
        <v>2447.15</v>
      </c>
    </row>
    <row r="47" spans="2:69" hidden="1">
      <c r="B47" s="397"/>
      <c r="C47" s="731" t="s">
        <v>1272</v>
      </c>
      <c r="D47" s="398">
        <v>54</v>
      </c>
      <c r="E47" s="399">
        <f>IF($D47="",0,VLOOKUP($D47,Trekkers!$A:$U,COLUMN(Trekkers!C$5),FALSE))</f>
        <v>90</v>
      </c>
      <c r="F47" s="399">
        <f>IF($D47="",0,VLOOKUP($D47,Trekkers!$A:$U,COLUMN(Trekkers!D$5),FALSE))</f>
        <v>120.69198806355254</v>
      </c>
      <c r="G47" s="399" t="str">
        <f>IF($D47="",0,VLOOKUP($D47,Trekkers!$A:$U,COLUMN(Trekkers!E$5),FALSE))</f>
        <v>4W</v>
      </c>
      <c r="H47" s="815" t="s">
        <v>91</v>
      </c>
      <c r="I47" s="398">
        <v>650</v>
      </c>
      <c r="J47" s="400" t="str">
        <f>IF($I47=0,0,VLOOKUP($I47,'Implemente &amp; Waens'!$A:$Z,COLUMN('Implemente &amp; Waens'!C$5),FALSE))</f>
        <v>Laaigraaf, Parallelleskakel met 820L bak</v>
      </c>
      <c r="K47" s="967">
        <v>10</v>
      </c>
      <c r="L47" s="729">
        <v>1</v>
      </c>
      <c r="M47" s="730">
        <v>1</v>
      </c>
      <c r="N47" s="402">
        <f t="shared" si="82"/>
        <v>1</v>
      </c>
      <c r="O47" s="403">
        <f t="shared" si="83"/>
        <v>1</v>
      </c>
      <c r="P47" s="915">
        <f t="shared" si="30"/>
        <v>251.45000000000002</v>
      </c>
      <c r="Q47" s="915">
        <f t="shared" si="31"/>
        <v>344.35</v>
      </c>
      <c r="R47" s="915">
        <f t="shared" si="32"/>
        <v>414.22500000000002</v>
      </c>
      <c r="S47" s="923">
        <f t="shared" si="33"/>
        <v>484.1</v>
      </c>
      <c r="T47" s="917">
        <f t="shared" si="34"/>
        <v>12.599999999999998</v>
      </c>
      <c r="U47" s="919">
        <f t="shared" si="35"/>
        <v>154.97999999999999</v>
      </c>
      <c r="V47" s="923">
        <f t="shared" si="36"/>
        <v>639.08000000000004</v>
      </c>
      <c r="X47" s="404">
        <f t="shared" si="84"/>
        <v>261.63</v>
      </c>
      <c r="Y47" s="405">
        <f t="shared" si="85"/>
        <v>191.8</v>
      </c>
      <c r="Z47" s="406">
        <f t="shared" si="86"/>
        <v>453.43</v>
      </c>
      <c r="AA47" s="404">
        <f t="shared" si="87"/>
        <v>29.950000000000003</v>
      </c>
      <c r="AB47" s="405">
        <f t="shared" si="88"/>
        <v>155.70000000000002</v>
      </c>
      <c r="AC47" s="407">
        <f t="shared" si="89"/>
        <v>185.65000000000003</v>
      </c>
      <c r="AD47" s="408">
        <f t="shared" si="90"/>
        <v>484.1</v>
      </c>
      <c r="AE47" s="409">
        <f t="shared" si="91"/>
        <v>639.08000000000004</v>
      </c>
      <c r="AF47" s="410">
        <f t="shared" si="9"/>
        <v>1</v>
      </c>
      <c r="AG47" s="411">
        <f t="shared" si="92"/>
        <v>484.1</v>
      </c>
      <c r="AH47" s="412">
        <f t="shared" si="93"/>
        <v>639.08000000000004</v>
      </c>
      <c r="AJ47" s="730">
        <v>1</v>
      </c>
      <c r="AL47" s="413">
        <f t="shared" si="12"/>
        <v>12.599999999999998</v>
      </c>
      <c r="AM47" s="414">
        <f t="shared" si="94"/>
        <v>154.97999999999999</v>
      </c>
      <c r="AN47" s="414">
        <f t="shared" si="14"/>
        <v>136.60000000000002</v>
      </c>
      <c r="AO47" s="414">
        <f t="shared" si="15"/>
        <v>0</v>
      </c>
      <c r="AP47" s="415">
        <f t="shared" si="95"/>
        <v>291.58000000000004</v>
      </c>
      <c r="AQ47" s="414">
        <f t="shared" si="17"/>
        <v>185.8</v>
      </c>
      <c r="AR47" s="414">
        <f t="shared" si="18"/>
        <v>21.950000000000003</v>
      </c>
      <c r="AS47" s="414">
        <f t="shared" si="19"/>
        <v>139.75000000000003</v>
      </c>
      <c r="AT47" s="415">
        <f t="shared" si="96"/>
        <v>347.5</v>
      </c>
      <c r="AU47" s="416">
        <f t="shared" si="97"/>
        <v>639.08000000000004</v>
      </c>
      <c r="AV47" s="417"/>
      <c r="AW47" s="418">
        <f t="shared" si="22"/>
        <v>54</v>
      </c>
      <c r="AX47" s="413">
        <f>IF(D47="",0,E47*VLOOKUP(H47,Trekkers!$E$141:$L$143,COLUMNS(Trekkers!$E$141:$L$141),FALSE)*AJ47)</f>
        <v>12.599999999999998</v>
      </c>
      <c r="AY47" s="414">
        <f t="shared" si="98"/>
        <v>154.97999999999999</v>
      </c>
      <c r="AZ47" s="414">
        <f>IF(D47="",0,VLOOKUP($D47,Trekkers!$A:$V,COLUMN(Trekkers!$K$5),FALSE))</f>
        <v>106.65</v>
      </c>
      <c r="BA47" s="414">
        <f>0</f>
        <v>0</v>
      </c>
      <c r="BB47" s="415">
        <f t="shared" si="99"/>
        <v>261.63</v>
      </c>
      <c r="BC47" s="414">
        <f>IF($D47="",0,VLOOKUP($D47,Trekkers!$A:$V,COLUMN(Trekkers!$G$5),FALSE)*$E$9/100)</f>
        <v>96</v>
      </c>
      <c r="BD47" s="414">
        <f>IF($D47="",0,VLOOKUP($D47,Trekkers!$A:$V,COLUMN(Trekkers!$H$5),FALSE))</f>
        <v>13.700000000000001</v>
      </c>
      <c r="BE47" s="414">
        <f>IF($D47="",0,VLOOKUP($D47,Trekkers!$A:$V,COLUMN(Trekkers!$I$5),FALSE)/$G$8*$E$8)</f>
        <v>82.100000000000009</v>
      </c>
      <c r="BF47" s="415">
        <f t="shared" si="100"/>
        <v>191.8</v>
      </c>
      <c r="BG47" s="416">
        <f t="shared" si="101"/>
        <v>453.43</v>
      </c>
      <c r="BH47" s="417"/>
      <c r="BI47" s="418">
        <f t="shared" si="0"/>
        <v>650</v>
      </c>
      <c r="BJ47" s="414">
        <f>IF($I47=0,0,VLOOKUP($I47,'Implemente &amp; Waens'!$A:$Z,COLUMN('Implemente &amp; Waens'!M$5),FALSE))</f>
        <v>29.950000000000003</v>
      </c>
      <c r="BK47" s="414">
        <f>IF($I47=0,0,VLOOKUP($I47,'Implemente &amp; Waens'!$A:$Z,COLUMN('Implemente &amp; Waens'!N$5),FALSE))</f>
        <v>0</v>
      </c>
      <c r="BL47" s="415">
        <f t="shared" si="102"/>
        <v>29.950000000000003</v>
      </c>
      <c r="BM47" s="414">
        <f>IF($I47=0,0,VLOOKUP($I47,'Implemente &amp; Waens'!$A:$Z,COLUMN('Implemente &amp; Waens'!I$5),FALSE)*$E$9/100)</f>
        <v>89.800000000000011</v>
      </c>
      <c r="BN47" s="414">
        <f>IF($I47=0,0,VLOOKUP($I47,'Implemente &amp; Waens'!$A:$Z,COLUMN('Implemente &amp; Waens'!J$5),FALSE))</f>
        <v>8.25</v>
      </c>
      <c r="BO47" s="414">
        <f>IF($I47=0,0,VLOOKUP($I47,'Implemente &amp; Waens'!$A:$Z,COLUMN('Implemente &amp; Waens'!K$5),FALSE)/$G$8*$E$8)</f>
        <v>57.650000000000013</v>
      </c>
      <c r="BP47" s="415">
        <f t="shared" si="103"/>
        <v>155.70000000000002</v>
      </c>
      <c r="BQ47" s="416">
        <f t="shared" si="104"/>
        <v>185.65000000000003</v>
      </c>
    </row>
    <row r="48" spans="2:69" hidden="1">
      <c r="B48" s="397"/>
      <c r="C48" s="731" t="s">
        <v>1273</v>
      </c>
      <c r="D48" s="398">
        <v>40</v>
      </c>
      <c r="E48" s="399">
        <f>IF($D48="",0,VLOOKUP($D48,Trekkers!$A:$U,COLUMN(Trekkers!C$5),FALSE))</f>
        <v>20</v>
      </c>
      <c r="F48" s="399">
        <f>IF($D48="",0,VLOOKUP($D48,Trekkers!$A:$U,COLUMN(Trekkers!D$5),FALSE))</f>
        <v>26.820441791900564</v>
      </c>
      <c r="G48" s="399" t="str">
        <f>IF($D48="",0,VLOOKUP($D48,Trekkers!$A:$U,COLUMN(Trekkers!E$5),FALSE))</f>
        <v>4W</v>
      </c>
      <c r="H48" s="815" t="s">
        <v>132</v>
      </c>
      <c r="I48" s="398">
        <v>651</v>
      </c>
      <c r="J48" s="400" t="e">
        <f>IF($I48=0,0,VLOOKUP($I48,'Implemente &amp; Waens'!$A:$Z,COLUMN('Implemente &amp; Waens'!C$5),FALSE))</f>
        <v>#N/A</v>
      </c>
      <c r="K48" s="967">
        <v>10</v>
      </c>
      <c r="L48" s="729">
        <v>1</v>
      </c>
      <c r="M48" s="730">
        <v>1</v>
      </c>
      <c r="N48" s="402">
        <f t="shared" si="82"/>
        <v>1</v>
      </c>
      <c r="O48" s="403">
        <f t="shared" si="83"/>
        <v>1</v>
      </c>
      <c r="P48" s="915" t="e">
        <f t="shared" si="30"/>
        <v>#N/A</v>
      </c>
      <c r="Q48" s="915" t="e">
        <f t="shared" si="31"/>
        <v>#N/A</v>
      </c>
      <c r="R48" s="915" t="e">
        <f t="shared" si="32"/>
        <v>#N/A</v>
      </c>
      <c r="S48" s="923" t="e">
        <f t="shared" si="33"/>
        <v>#N/A</v>
      </c>
      <c r="T48" s="917">
        <f t="shared" si="34"/>
        <v>3.5999999999999996</v>
      </c>
      <c r="U48" s="919">
        <f t="shared" si="35"/>
        <v>44.28</v>
      </c>
      <c r="V48" s="923" t="e">
        <f t="shared" si="36"/>
        <v>#N/A</v>
      </c>
      <c r="X48" s="404">
        <f t="shared" si="84"/>
        <v>60.88</v>
      </c>
      <c r="Y48" s="405">
        <f t="shared" si="85"/>
        <v>29.9</v>
      </c>
      <c r="Z48" s="406">
        <f t="shared" si="86"/>
        <v>90.78</v>
      </c>
      <c r="AA48" s="404" t="e">
        <f t="shared" si="87"/>
        <v>#N/A</v>
      </c>
      <c r="AB48" s="405" t="e">
        <f t="shared" si="88"/>
        <v>#N/A</v>
      </c>
      <c r="AC48" s="407" t="e">
        <f t="shared" si="89"/>
        <v>#N/A</v>
      </c>
      <c r="AD48" s="408" t="e">
        <f t="shared" si="90"/>
        <v>#N/A</v>
      </c>
      <c r="AE48" s="409" t="e">
        <f t="shared" si="91"/>
        <v>#N/A</v>
      </c>
      <c r="AF48" s="410">
        <f t="shared" si="9"/>
        <v>1</v>
      </c>
      <c r="AG48" s="411" t="e">
        <f t="shared" si="92"/>
        <v>#N/A</v>
      </c>
      <c r="AH48" s="412" t="e">
        <f t="shared" si="93"/>
        <v>#N/A</v>
      </c>
      <c r="AJ48" s="730">
        <v>1</v>
      </c>
      <c r="AL48" s="413">
        <f t="shared" si="12"/>
        <v>3.5999999999999996</v>
      </c>
      <c r="AM48" s="414">
        <f t="shared" si="94"/>
        <v>44.28</v>
      </c>
      <c r="AN48" s="414" t="e">
        <f t="shared" si="14"/>
        <v>#N/A</v>
      </c>
      <c r="AO48" s="414" t="e">
        <f t="shared" si="15"/>
        <v>#N/A</v>
      </c>
      <c r="AP48" s="415" t="e">
        <f t="shared" si="95"/>
        <v>#N/A</v>
      </c>
      <c r="AQ48" s="414" t="e">
        <f t="shared" si="17"/>
        <v>#N/A</v>
      </c>
      <c r="AR48" s="414" t="e">
        <f t="shared" si="18"/>
        <v>#N/A</v>
      </c>
      <c r="AS48" s="414" t="e">
        <f t="shared" si="19"/>
        <v>#N/A</v>
      </c>
      <c r="AT48" s="415" t="e">
        <f t="shared" si="96"/>
        <v>#N/A</v>
      </c>
      <c r="AU48" s="416" t="e">
        <f t="shared" si="97"/>
        <v>#N/A</v>
      </c>
      <c r="AV48" s="417"/>
      <c r="AW48" s="418">
        <f t="shared" si="22"/>
        <v>40</v>
      </c>
      <c r="AX48" s="413">
        <f>IF(D48="",0,E48*VLOOKUP(H48,Trekkers!$E$141:$L$143,COLUMNS(Trekkers!$E$141:$L$141),FALSE)*AJ48)</f>
        <v>3.5999999999999996</v>
      </c>
      <c r="AY48" s="414">
        <f t="shared" si="98"/>
        <v>44.28</v>
      </c>
      <c r="AZ48" s="414">
        <f>IF(D48="",0,VLOOKUP($D48,Trekkers!$A:$V,COLUMN(Trekkers!$K$5),FALSE))</f>
        <v>16.600000000000001</v>
      </c>
      <c r="BA48" s="414">
        <f>0</f>
        <v>0</v>
      </c>
      <c r="BB48" s="415">
        <f t="shared" si="99"/>
        <v>60.88</v>
      </c>
      <c r="BC48" s="414">
        <f>IF($D48="",0,VLOOKUP($D48,Trekkers!$A:$V,COLUMN(Trekkers!$G$5),FALSE)*$E$9/100)</f>
        <v>14.95</v>
      </c>
      <c r="BD48" s="414">
        <f>IF($D48="",0,VLOOKUP($D48,Trekkers!$A:$V,COLUMN(Trekkers!$H$5),FALSE))</f>
        <v>2.15</v>
      </c>
      <c r="BE48" s="414">
        <f>IF($D48="",0,VLOOKUP($D48,Trekkers!$A:$V,COLUMN(Trekkers!$I$5),FALSE)/$G$8*$E$8)</f>
        <v>12.8</v>
      </c>
      <c r="BF48" s="415">
        <f t="shared" si="100"/>
        <v>29.9</v>
      </c>
      <c r="BG48" s="416">
        <f t="shared" si="101"/>
        <v>90.78</v>
      </c>
      <c r="BH48" s="417"/>
      <c r="BI48" s="418">
        <f t="shared" si="0"/>
        <v>651</v>
      </c>
      <c r="BJ48" s="414" t="e">
        <f>IF($I48=0,0,VLOOKUP($I48,'Implemente &amp; Waens'!$A:$Z,COLUMN('Implemente &amp; Waens'!M$5),FALSE))</f>
        <v>#N/A</v>
      </c>
      <c r="BK48" s="414" t="e">
        <f>IF($I48=0,0,VLOOKUP($I48,'Implemente &amp; Waens'!$A:$Z,COLUMN('Implemente &amp; Waens'!N$5),FALSE))</f>
        <v>#N/A</v>
      </c>
      <c r="BL48" s="415" t="e">
        <f t="shared" si="102"/>
        <v>#N/A</v>
      </c>
      <c r="BM48" s="414" t="e">
        <f>IF($I48=0,0,VLOOKUP($I48,'Implemente &amp; Waens'!$A:$Z,COLUMN('Implemente &amp; Waens'!I$5),FALSE)*$E$9/100)</f>
        <v>#N/A</v>
      </c>
      <c r="BN48" s="414" t="e">
        <f>IF($I48=0,0,VLOOKUP($I48,'Implemente &amp; Waens'!$A:$Z,COLUMN('Implemente &amp; Waens'!J$5),FALSE))</f>
        <v>#N/A</v>
      </c>
      <c r="BO48" s="414" t="e">
        <f>IF($I48=0,0,VLOOKUP($I48,'Implemente &amp; Waens'!$A:$Z,COLUMN('Implemente &amp; Waens'!K$5),FALSE)/$G$8*$E$8)</f>
        <v>#N/A</v>
      </c>
      <c r="BP48" s="415" t="e">
        <f t="shared" si="103"/>
        <v>#N/A</v>
      </c>
      <c r="BQ48" s="416" t="e">
        <f t="shared" si="104"/>
        <v>#N/A</v>
      </c>
    </row>
    <row r="49" spans="2:69">
      <c r="B49" s="397"/>
      <c r="C49" s="731"/>
      <c r="D49" s="398"/>
      <c r="E49" s="399">
        <f>IF($D49="",0,VLOOKUP($D49,Trekkers!$A:$U,COLUMN(Trekkers!C$5),FALSE))</f>
        <v>0</v>
      </c>
      <c r="F49" s="399">
        <f>IF($D49="",0,VLOOKUP($D49,Trekkers!$A:$U,COLUMN(Trekkers!D$5),FALSE))</f>
        <v>0</v>
      </c>
      <c r="G49" s="399">
        <f>IF($D49="",0,VLOOKUP($D49,Trekkers!$A:$U,COLUMN(Trekkers!E$5),FALSE))</f>
        <v>0</v>
      </c>
      <c r="H49" s="815"/>
      <c r="I49" s="398"/>
      <c r="J49" s="400">
        <f>IF($I49=0,0,VLOOKUP($I49,'Implemente &amp; Waens'!$A:$Z,COLUMN('Implemente &amp; Waens'!C$5),FALSE))</f>
        <v>0</v>
      </c>
      <c r="K49" s="967"/>
      <c r="L49" s="729"/>
      <c r="M49" s="730"/>
      <c r="N49" s="402">
        <f t="shared" si="82"/>
        <v>0</v>
      </c>
      <c r="O49" s="403">
        <f t="shared" si="83"/>
        <v>0</v>
      </c>
      <c r="P49" s="915">
        <f t="shared" si="30"/>
        <v>0</v>
      </c>
      <c r="Q49" s="915">
        <f t="shared" si="31"/>
        <v>0</v>
      </c>
      <c r="R49" s="915">
        <f t="shared" si="32"/>
        <v>0</v>
      </c>
      <c r="S49" s="923">
        <f t="shared" si="33"/>
        <v>0</v>
      </c>
      <c r="T49" s="917">
        <f t="shared" si="34"/>
        <v>0</v>
      </c>
      <c r="U49" s="919">
        <f t="shared" si="35"/>
        <v>0</v>
      </c>
      <c r="V49" s="923">
        <f t="shared" si="36"/>
        <v>0</v>
      </c>
      <c r="X49" s="404">
        <f t="shared" si="84"/>
        <v>0</v>
      </c>
      <c r="Y49" s="405">
        <f t="shared" si="85"/>
        <v>0</v>
      </c>
      <c r="Z49" s="406">
        <f t="shared" si="86"/>
        <v>0</v>
      </c>
      <c r="AA49" s="404">
        <f t="shared" si="87"/>
        <v>0</v>
      </c>
      <c r="AB49" s="405">
        <f t="shared" si="88"/>
        <v>0</v>
      </c>
      <c r="AC49" s="407">
        <f t="shared" si="89"/>
        <v>0</v>
      </c>
      <c r="AD49" s="408">
        <f t="shared" si="90"/>
        <v>0</v>
      </c>
      <c r="AE49" s="409">
        <f t="shared" si="91"/>
        <v>0</v>
      </c>
      <c r="AF49" s="410">
        <f t="shared" si="9"/>
        <v>0</v>
      </c>
      <c r="AG49" s="411">
        <f t="shared" si="92"/>
        <v>0</v>
      </c>
      <c r="AH49" s="412">
        <f t="shared" si="93"/>
        <v>0</v>
      </c>
      <c r="AJ49" s="730">
        <v>1</v>
      </c>
      <c r="AL49" s="413">
        <f t="shared" si="12"/>
        <v>0</v>
      </c>
      <c r="AM49" s="414">
        <f t="shared" si="94"/>
        <v>0</v>
      </c>
      <c r="AN49" s="414">
        <f t="shared" si="14"/>
        <v>0</v>
      </c>
      <c r="AO49" s="414">
        <f t="shared" si="15"/>
        <v>0</v>
      </c>
      <c r="AP49" s="415">
        <f t="shared" si="95"/>
        <v>0</v>
      </c>
      <c r="AQ49" s="414">
        <f t="shared" si="17"/>
        <v>0</v>
      </c>
      <c r="AR49" s="414">
        <f t="shared" si="18"/>
        <v>0</v>
      </c>
      <c r="AS49" s="414">
        <f t="shared" si="19"/>
        <v>0</v>
      </c>
      <c r="AT49" s="415">
        <f t="shared" si="96"/>
        <v>0</v>
      </c>
      <c r="AU49" s="416">
        <f t="shared" si="97"/>
        <v>0</v>
      </c>
      <c r="AV49" s="417"/>
      <c r="AW49" s="418">
        <f t="shared" si="22"/>
        <v>0</v>
      </c>
      <c r="AX49" s="413">
        <f>IF(D49="",0,E49*VLOOKUP(H49,Trekkers!$E$141:$L$143,COLUMNS(Trekkers!$E$141:$L$141),FALSE)*AJ49)</f>
        <v>0</v>
      </c>
      <c r="AY49" s="414">
        <f t="shared" si="98"/>
        <v>0</v>
      </c>
      <c r="AZ49" s="414">
        <f>IF(D49="",0,VLOOKUP($D49,Trekkers!$A:$V,COLUMN(Trekkers!$K$5),FALSE))</f>
        <v>0</v>
      </c>
      <c r="BA49" s="414">
        <f>0</f>
        <v>0</v>
      </c>
      <c r="BB49" s="415">
        <f t="shared" si="99"/>
        <v>0</v>
      </c>
      <c r="BC49" s="414">
        <f>IF($D49="",0,VLOOKUP($D49,Trekkers!$A:$V,COLUMN(Trekkers!$G$5),FALSE)*$E$9/100)</f>
        <v>0</v>
      </c>
      <c r="BD49" s="414">
        <f>IF($D49="",0,VLOOKUP($D49,Trekkers!$A:$V,COLUMN(Trekkers!$H$5),FALSE))</f>
        <v>0</v>
      </c>
      <c r="BE49" s="414">
        <f>IF($D49="",0,VLOOKUP($D49,Trekkers!$A:$V,COLUMN(Trekkers!$I$5),FALSE)/$G$8*$E$8)</f>
        <v>0</v>
      </c>
      <c r="BF49" s="415">
        <f t="shared" si="100"/>
        <v>0</v>
      </c>
      <c r="BG49" s="416">
        <f t="shared" si="101"/>
        <v>0</v>
      </c>
      <c r="BH49" s="417"/>
      <c r="BI49" s="418">
        <f t="shared" si="0"/>
        <v>0</v>
      </c>
      <c r="BJ49" s="414">
        <f>IF($I49=0,0,VLOOKUP($I49,'Implemente &amp; Waens'!$A:$Z,COLUMN('Implemente &amp; Waens'!M$5),FALSE))</f>
        <v>0</v>
      </c>
      <c r="BK49" s="414">
        <f>IF($I49=0,0,VLOOKUP($I49,'Implemente &amp; Waens'!$A:$Z,COLUMN('Implemente &amp; Waens'!N$5),FALSE))</f>
        <v>0</v>
      </c>
      <c r="BL49" s="415">
        <f t="shared" si="102"/>
        <v>0</v>
      </c>
      <c r="BM49" s="414">
        <f>IF($I49=0,0,VLOOKUP($I49,'Implemente &amp; Waens'!$A:$Z,COLUMN('Implemente &amp; Waens'!I$5),FALSE)*$E$9/100)</f>
        <v>0</v>
      </c>
      <c r="BN49" s="414">
        <f>IF($I49=0,0,VLOOKUP($I49,'Implemente &amp; Waens'!$A:$Z,COLUMN('Implemente &amp; Waens'!J$5),FALSE))</f>
        <v>0</v>
      </c>
      <c r="BO49" s="414">
        <f>IF($I49=0,0,VLOOKUP($I49,'Implemente &amp; Waens'!$A:$Z,COLUMN('Implemente &amp; Waens'!K$5),FALSE)/$G$8*$E$8)</f>
        <v>0</v>
      </c>
      <c r="BP49" s="415">
        <f t="shared" si="103"/>
        <v>0</v>
      </c>
      <c r="BQ49" s="416">
        <f t="shared" si="104"/>
        <v>0</v>
      </c>
    </row>
    <row r="50" spans="2:69">
      <c r="B50" s="397"/>
      <c r="C50" s="731"/>
      <c r="D50" s="398"/>
      <c r="E50" s="399">
        <f>IF($D50="",0,VLOOKUP($D50,Trekkers!$A:$U,COLUMN(Trekkers!C$5),FALSE))</f>
        <v>0</v>
      </c>
      <c r="F50" s="399">
        <f>IF($D50="",0,VLOOKUP($D50,Trekkers!$A:$U,COLUMN(Trekkers!D$5),FALSE))</f>
        <v>0</v>
      </c>
      <c r="G50" s="399">
        <f>IF($D50="",0,VLOOKUP($D50,Trekkers!$A:$U,COLUMN(Trekkers!E$5),FALSE))</f>
        <v>0</v>
      </c>
      <c r="H50" s="815"/>
      <c r="I50" s="398"/>
      <c r="J50" s="400">
        <f>IF($I50=0,0,VLOOKUP($I50,'Implemente &amp; Waens'!$A:$Z,COLUMN('Implemente &amp; Waens'!C$5),FALSE))</f>
        <v>0</v>
      </c>
      <c r="K50" s="967"/>
      <c r="L50" s="729"/>
      <c r="M50" s="730"/>
      <c r="N50" s="402">
        <f t="shared" si="82"/>
        <v>0</v>
      </c>
      <c r="O50" s="403">
        <f t="shared" si="83"/>
        <v>0</v>
      </c>
      <c r="P50" s="915">
        <f t="shared" si="30"/>
        <v>0</v>
      </c>
      <c r="Q50" s="915">
        <f t="shared" si="31"/>
        <v>0</v>
      </c>
      <c r="R50" s="915">
        <f t="shared" si="32"/>
        <v>0</v>
      </c>
      <c r="S50" s="923">
        <f t="shared" si="33"/>
        <v>0</v>
      </c>
      <c r="T50" s="917">
        <f t="shared" si="34"/>
        <v>0</v>
      </c>
      <c r="U50" s="919">
        <f t="shared" si="35"/>
        <v>0</v>
      </c>
      <c r="V50" s="923">
        <f t="shared" si="36"/>
        <v>0</v>
      </c>
      <c r="X50" s="404">
        <f t="shared" si="84"/>
        <v>0</v>
      </c>
      <c r="Y50" s="405">
        <f t="shared" si="85"/>
        <v>0</v>
      </c>
      <c r="Z50" s="406">
        <f t="shared" si="86"/>
        <v>0</v>
      </c>
      <c r="AA50" s="404">
        <f t="shared" si="87"/>
        <v>0</v>
      </c>
      <c r="AB50" s="405">
        <f t="shared" si="88"/>
        <v>0</v>
      </c>
      <c r="AC50" s="407">
        <f t="shared" si="89"/>
        <v>0</v>
      </c>
      <c r="AD50" s="408">
        <f t="shared" si="90"/>
        <v>0</v>
      </c>
      <c r="AE50" s="409">
        <f t="shared" si="91"/>
        <v>0</v>
      </c>
      <c r="AF50" s="410">
        <f t="shared" si="9"/>
        <v>0</v>
      </c>
      <c r="AG50" s="411">
        <f t="shared" si="92"/>
        <v>0</v>
      </c>
      <c r="AH50" s="412">
        <f t="shared" si="93"/>
        <v>0</v>
      </c>
      <c r="AJ50" s="730">
        <v>1</v>
      </c>
      <c r="AL50" s="413">
        <f t="shared" si="12"/>
        <v>0</v>
      </c>
      <c r="AM50" s="414">
        <f t="shared" si="94"/>
        <v>0</v>
      </c>
      <c r="AN50" s="414">
        <f t="shared" si="14"/>
        <v>0</v>
      </c>
      <c r="AO50" s="414">
        <f t="shared" si="15"/>
        <v>0</v>
      </c>
      <c r="AP50" s="415">
        <f t="shared" si="95"/>
        <v>0</v>
      </c>
      <c r="AQ50" s="414">
        <f t="shared" si="17"/>
        <v>0</v>
      </c>
      <c r="AR50" s="414">
        <f t="shared" si="18"/>
        <v>0</v>
      </c>
      <c r="AS50" s="414">
        <f t="shared" si="19"/>
        <v>0</v>
      </c>
      <c r="AT50" s="415">
        <f t="shared" si="96"/>
        <v>0</v>
      </c>
      <c r="AU50" s="416">
        <f t="shared" si="97"/>
        <v>0</v>
      </c>
      <c r="AV50" s="417"/>
      <c r="AW50" s="418">
        <f t="shared" si="22"/>
        <v>0</v>
      </c>
      <c r="AX50" s="413">
        <f>IF(D50="",0,E50*VLOOKUP(H50,Trekkers!$E$141:$L$143,COLUMNS(Trekkers!$E$141:$L$141),FALSE)*AJ50)</f>
        <v>0</v>
      </c>
      <c r="AY50" s="414">
        <f t="shared" si="98"/>
        <v>0</v>
      </c>
      <c r="AZ50" s="414">
        <f>IF(D50="",0,VLOOKUP($D50,Trekkers!$A:$V,COLUMN(Trekkers!$K$5),FALSE))</f>
        <v>0</v>
      </c>
      <c r="BA50" s="414">
        <f>0</f>
        <v>0</v>
      </c>
      <c r="BB50" s="415">
        <f t="shared" si="99"/>
        <v>0</v>
      </c>
      <c r="BC50" s="414">
        <f>IF($D50="",0,VLOOKUP($D50,Trekkers!$A:$V,COLUMN(Trekkers!$G$5),FALSE)*$E$9/100)</f>
        <v>0</v>
      </c>
      <c r="BD50" s="414">
        <f>IF($D50="",0,VLOOKUP($D50,Trekkers!$A:$V,COLUMN(Trekkers!$H$5),FALSE))</f>
        <v>0</v>
      </c>
      <c r="BE50" s="414">
        <f>IF($D50="",0,VLOOKUP($D50,Trekkers!$A:$V,COLUMN(Trekkers!$I$5),FALSE)/$G$8*$E$8)</f>
        <v>0</v>
      </c>
      <c r="BF50" s="415">
        <f t="shared" si="100"/>
        <v>0</v>
      </c>
      <c r="BG50" s="416">
        <f t="shared" si="101"/>
        <v>0</v>
      </c>
      <c r="BH50" s="417"/>
      <c r="BI50" s="418">
        <f t="shared" si="0"/>
        <v>0</v>
      </c>
      <c r="BJ50" s="414">
        <f>IF($I50=0,0,VLOOKUP($I50,'Implemente &amp; Waens'!$A:$Z,COLUMN('Implemente &amp; Waens'!M$5),FALSE))</f>
        <v>0</v>
      </c>
      <c r="BK50" s="414">
        <f>IF($I50=0,0,VLOOKUP($I50,'Implemente &amp; Waens'!$A:$Z,COLUMN('Implemente &amp; Waens'!N$5),FALSE))</f>
        <v>0</v>
      </c>
      <c r="BL50" s="415">
        <f t="shared" si="102"/>
        <v>0</v>
      </c>
      <c r="BM50" s="414">
        <f>IF($I50=0,0,VLOOKUP($I50,'Implemente &amp; Waens'!$A:$Z,COLUMN('Implemente &amp; Waens'!I$5),FALSE)*$E$9/100)</f>
        <v>0</v>
      </c>
      <c r="BN50" s="414">
        <f>IF($I50=0,0,VLOOKUP($I50,'Implemente &amp; Waens'!$A:$Z,COLUMN('Implemente &amp; Waens'!J$5),FALSE))</f>
        <v>0</v>
      </c>
      <c r="BO50" s="414">
        <f>IF($I50=0,0,VLOOKUP($I50,'Implemente &amp; Waens'!$A:$Z,COLUMN('Implemente &amp; Waens'!K$5),FALSE)/$G$8*$E$8)</f>
        <v>0</v>
      </c>
      <c r="BP50" s="415">
        <f t="shared" si="103"/>
        <v>0</v>
      </c>
      <c r="BQ50" s="416">
        <f t="shared" si="104"/>
        <v>0</v>
      </c>
    </row>
    <row r="51" spans="2:69">
      <c r="B51" s="397"/>
      <c r="C51" s="731"/>
      <c r="D51" s="398"/>
      <c r="E51" s="399">
        <f>IF($D51="",0,VLOOKUP($D51,Trekkers!$A:$U,COLUMN(Trekkers!C$5),FALSE))</f>
        <v>0</v>
      </c>
      <c r="F51" s="399">
        <f>IF($D51="",0,VLOOKUP($D51,Trekkers!$A:$U,COLUMN(Trekkers!D$5),FALSE))</f>
        <v>0</v>
      </c>
      <c r="G51" s="399">
        <f>IF($D51="",0,VLOOKUP($D51,Trekkers!$A:$U,COLUMN(Trekkers!E$5),FALSE))</f>
        <v>0</v>
      </c>
      <c r="H51" s="815"/>
      <c r="I51" s="398"/>
      <c r="J51" s="400">
        <f>IF($I51=0,0,VLOOKUP($I51,'Implemente &amp; Waens'!$A:$Z,COLUMN('Implemente &amp; Waens'!C$5),FALSE))</f>
        <v>0</v>
      </c>
      <c r="K51" s="967"/>
      <c r="L51" s="729"/>
      <c r="M51" s="730"/>
      <c r="N51" s="402">
        <f t="shared" si="82"/>
        <v>0</v>
      </c>
      <c r="O51" s="403">
        <f t="shared" si="83"/>
        <v>0</v>
      </c>
      <c r="P51" s="915">
        <f t="shared" si="30"/>
        <v>0</v>
      </c>
      <c r="Q51" s="915">
        <f t="shared" si="31"/>
        <v>0</v>
      </c>
      <c r="R51" s="915">
        <f t="shared" si="32"/>
        <v>0</v>
      </c>
      <c r="S51" s="923">
        <f t="shared" si="33"/>
        <v>0</v>
      </c>
      <c r="T51" s="917">
        <f t="shared" si="34"/>
        <v>0</v>
      </c>
      <c r="U51" s="919">
        <f t="shared" si="35"/>
        <v>0</v>
      </c>
      <c r="V51" s="923">
        <f t="shared" si="36"/>
        <v>0</v>
      </c>
      <c r="X51" s="404">
        <f t="shared" si="84"/>
        <v>0</v>
      </c>
      <c r="Y51" s="405">
        <f t="shared" si="85"/>
        <v>0</v>
      </c>
      <c r="Z51" s="406">
        <f t="shared" si="86"/>
        <v>0</v>
      </c>
      <c r="AA51" s="404">
        <f t="shared" si="87"/>
        <v>0</v>
      </c>
      <c r="AB51" s="405">
        <f t="shared" si="88"/>
        <v>0</v>
      </c>
      <c r="AC51" s="407">
        <f t="shared" si="89"/>
        <v>0</v>
      </c>
      <c r="AD51" s="408">
        <f t="shared" si="90"/>
        <v>0</v>
      </c>
      <c r="AE51" s="409">
        <f t="shared" si="91"/>
        <v>0</v>
      </c>
      <c r="AF51" s="410">
        <f t="shared" si="9"/>
        <v>0</v>
      </c>
      <c r="AG51" s="411">
        <f t="shared" si="92"/>
        <v>0</v>
      </c>
      <c r="AH51" s="412">
        <f t="shared" si="93"/>
        <v>0</v>
      </c>
      <c r="AJ51" s="730">
        <v>1</v>
      </c>
      <c r="AL51" s="413">
        <f t="shared" si="12"/>
        <v>0</v>
      </c>
      <c r="AM51" s="414">
        <f t="shared" si="94"/>
        <v>0</v>
      </c>
      <c r="AN51" s="414">
        <f t="shared" si="14"/>
        <v>0</v>
      </c>
      <c r="AO51" s="414">
        <f t="shared" si="15"/>
        <v>0</v>
      </c>
      <c r="AP51" s="415">
        <f t="shared" si="95"/>
        <v>0</v>
      </c>
      <c r="AQ51" s="414">
        <f t="shared" si="17"/>
        <v>0</v>
      </c>
      <c r="AR51" s="414">
        <f t="shared" si="18"/>
        <v>0</v>
      </c>
      <c r="AS51" s="414">
        <f t="shared" si="19"/>
        <v>0</v>
      </c>
      <c r="AT51" s="415">
        <f t="shared" si="96"/>
        <v>0</v>
      </c>
      <c r="AU51" s="416">
        <f t="shared" si="97"/>
        <v>0</v>
      </c>
      <c r="AV51" s="417"/>
      <c r="AW51" s="418">
        <f t="shared" si="22"/>
        <v>0</v>
      </c>
      <c r="AX51" s="413">
        <f>IF(D51="",0,E51*VLOOKUP(H51,Trekkers!$E$141:$L$143,COLUMNS(Trekkers!$E$141:$L$141),FALSE)*AJ51)</f>
        <v>0</v>
      </c>
      <c r="AY51" s="414">
        <f t="shared" si="98"/>
        <v>0</v>
      </c>
      <c r="AZ51" s="414">
        <f>IF(D51="",0,VLOOKUP($D51,Trekkers!$A:$V,COLUMN(Trekkers!$K$5),FALSE))</f>
        <v>0</v>
      </c>
      <c r="BA51" s="414">
        <f>0</f>
        <v>0</v>
      </c>
      <c r="BB51" s="415">
        <f t="shared" si="99"/>
        <v>0</v>
      </c>
      <c r="BC51" s="414">
        <f>IF($D51="",0,VLOOKUP($D51,Trekkers!$A:$V,COLUMN(Trekkers!$G$5),FALSE)*$E$9/100)</f>
        <v>0</v>
      </c>
      <c r="BD51" s="414">
        <f>IF($D51="",0,VLOOKUP($D51,Trekkers!$A:$V,COLUMN(Trekkers!$H$5),FALSE))</f>
        <v>0</v>
      </c>
      <c r="BE51" s="414">
        <f>IF($D51="",0,VLOOKUP($D51,Trekkers!$A:$V,COLUMN(Trekkers!$I$5),FALSE)/$G$8*$E$8)</f>
        <v>0</v>
      </c>
      <c r="BF51" s="415">
        <f t="shared" si="100"/>
        <v>0</v>
      </c>
      <c r="BG51" s="416">
        <f t="shared" si="101"/>
        <v>0</v>
      </c>
      <c r="BH51" s="417"/>
      <c r="BI51" s="418">
        <f t="shared" si="0"/>
        <v>0</v>
      </c>
      <c r="BJ51" s="414">
        <f>IF($I51=0,0,VLOOKUP($I51,'Implemente &amp; Waens'!$A:$Z,COLUMN('Implemente &amp; Waens'!M$5),FALSE))</f>
        <v>0</v>
      </c>
      <c r="BK51" s="414">
        <f>IF($I51=0,0,VLOOKUP($I51,'Implemente &amp; Waens'!$A:$Z,COLUMN('Implemente &amp; Waens'!N$5),FALSE))</f>
        <v>0</v>
      </c>
      <c r="BL51" s="415">
        <f t="shared" si="102"/>
        <v>0</v>
      </c>
      <c r="BM51" s="414">
        <f>IF($I51=0,0,VLOOKUP($I51,'Implemente &amp; Waens'!$A:$Z,COLUMN('Implemente &amp; Waens'!I$5),FALSE)*$E$9/100)</f>
        <v>0</v>
      </c>
      <c r="BN51" s="414">
        <f>IF($I51=0,0,VLOOKUP($I51,'Implemente &amp; Waens'!$A:$Z,COLUMN('Implemente &amp; Waens'!J$5),FALSE))</f>
        <v>0</v>
      </c>
      <c r="BO51" s="414">
        <f>IF($I51=0,0,VLOOKUP($I51,'Implemente &amp; Waens'!$A:$Z,COLUMN('Implemente &amp; Waens'!K$5),FALSE)/$G$8*$E$8)</f>
        <v>0</v>
      </c>
      <c r="BP51" s="415">
        <f t="shared" si="103"/>
        <v>0</v>
      </c>
      <c r="BQ51" s="416">
        <f t="shared" si="104"/>
        <v>0</v>
      </c>
    </row>
    <row r="52" spans="2:69">
      <c r="B52" s="397"/>
      <c r="C52" s="731"/>
      <c r="D52" s="398"/>
      <c r="E52" s="399">
        <f>IF($D52="",0,VLOOKUP($D52,Trekkers!$A:$U,COLUMN(Trekkers!C$5),FALSE))</f>
        <v>0</v>
      </c>
      <c r="F52" s="399">
        <f>IF($D52="",0,VLOOKUP($D52,Trekkers!$A:$U,COLUMN(Trekkers!D$5),FALSE))</f>
        <v>0</v>
      </c>
      <c r="G52" s="399">
        <f>IF($D52="",0,VLOOKUP($D52,Trekkers!$A:$U,COLUMN(Trekkers!E$5),FALSE))</f>
        <v>0</v>
      </c>
      <c r="H52" s="815"/>
      <c r="I52" s="398"/>
      <c r="J52" s="400">
        <f>IF($I52=0,0,VLOOKUP($I52,'Implemente &amp; Waens'!$A:$Z,COLUMN('Implemente &amp; Waens'!C$5),FALSE))</f>
        <v>0</v>
      </c>
      <c r="K52" s="967"/>
      <c r="L52" s="729"/>
      <c r="M52" s="730"/>
      <c r="N52" s="402">
        <f t="shared" si="82"/>
        <v>0</v>
      </c>
      <c r="O52" s="403">
        <f t="shared" si="83"/>
        <v>0</v>
      </c>
      <c r="P52" s="915">
        <f t="shared" si="30"/>
        <v>0</v>
      </c>
      <c r="Q52" s="915">
        <f t="shared" si="31"/>
        <v>0</v>
      </c>
      <c r="R52" s="915">
        <f t="shared" si="32"/>
        <v>0</v>
      </c>
      <c r="S52" s="923">
        <f t="shared" si="33"/>
        <v>0</v>
      </c>
      <c r="T52" s="917">
        <f t="shared" si="34"/>
        <v>0</v>
      </c>
      <c r="U52" s="919">
        <f t="shared" si="35"/>
        <v>0</v>
      </c>
      <c r="V52" s="923">
        <f t="shared" si="36"/>
        <v>0</v>
      </c>
      <c r="X52" s="404">
        <f t="shared" si="84"/>
        <v>0</v>
      </c>
      <c r="Y52" s="405">
        <f t="shared" si="85"/>
        <v>0</v>
      </c>
      <c r="Z52" s="406">
        <f t="shared" si="86"/>
        <v>0</v>
      </c>
      <c r="AA52" s="404">
        <f t="shared" si="87"/>
        <v>0</v>
      </c>
      <c r="AB52" s="405">
        <f t="shared" si="88"/>
        <v>0</v>
      </c>
      <c r="AC52" s="407">
        <f t="shared" si="89"/>
        <v>0</v>
      </c>
      <c r="AD52" s="408">
        <f t="shared" si="90"/>
        <v>0</v>
      </c>
      <c r="AE52" s="409">
        <f t="shared" si="91"/>
        <v>0</v>
      </c>
      <c r="AF52" s="410">
        <f t="shared" si="9"/>
        <v>0</v>
      </c>
      <c r="AG52" s="411">
        <f t="shared" si="92"/>
        <v>0</v>
      </c>
      <c r="AH52" s="412">
        <f t="shared" si="93"/>
        <v>0</v>
      </c>
      <c r="AJ52" s="730">
        <v>1</v>
      </c>
      <c r="AL52" s="413">
        <f t="shared" si="12"/>
        <v>0</v>
      </c>
      <c r="AM52" s="414">
        <f t="shared" si="94"/>
        <v>0</v>
      </c>
      <c r="AN52" s="414">
        <f t="shared" si="14"/>
        <v>0</v>
      </c>
      <c r="AO52" s="414">
        <f t="shared" si="15"/>
        <v>0</v>
      </c>
      <c r="AP52" s="415">
        <f t="shared" si="95"/>
        <v>0</v>
      </c>
      <c r="AQ52" s="414">
        <f t="shared" si="17"/>
        <v>0</v>
      </c>
      <c r="AR52" s="414">
        <f t="shared" si="18"/>
        <v>0</v>
      </c>
      <c r="AS52" s="414">
        <f t="shared" si="19"/>
        <v>0</v>
      </c>
      <c r="AT52" s="415">
        <f t="shared" si="96"/>
        <v>0</v>
      </c>
      <c r="AU52" s="416">
        <f t="shared" si="97"/>
        <v>0</v>
      </c>
      <c r="AV52" s="417"/>
      <c r="AW52" s="418">
        <f t="shared" si="22"/>
        <v>0</v>
      </c>
      <c r="AX52" s="413">
        <f>IF(D52="",0,E52*VLOOKUP(H52,Trekkers!$E$141:$L$143,COLUMNS(Trekkers!$E$141:$L$141),FALSE)*AJ52)</f>
        <v>0</v>
      </c>
      <c r="AY52" s="414">
        <f t="shared" si="98"/>
        <v>0</v>
      </c>
      <c r="AZ52" s="414">
        <f>IF(D52="",0,VLOOKUP($D52,Trekkers!$A:$V,COLUMN(Trekkers!$K$5),FALSE))</f>
        <v>0</v>
      </c>
      <c r="BA52" s="414">
        <f>0</f>
        <v>0</v>
      </c>
      <c r="BB52" s="415">
        <f t="shared" si="99"/>
        <v>0</v>
      </c>
      <c r="BC52" s="414">
        <f>IF($D52="",0,VLOOKUP($D52,Trekkers!$A:$V,COLUMN(Trekkers!$G$5),FALSE)*$E$9/100)</f>
        <v>0</v>
      </c>
      <c r="BD52" s="414">
        <f>IF($D52="",0,VLOOKUP($D52,Trekkers!$A:$V,COLUMN(Trekkers!$H$5),FALSE))</f>
        <v>0</v>
      </c>
      <c r="BE52" s="414">
        <f>IF($D52="",0,VLOOKUP($D52,Trekkers!$A:$V,COLUMN(Trekkers!$I$5),FALSE)/$G$8*$E$8)</f>
        <v>0</v>
      </c>
      <c r="BF52" s="415">
        <f t="shared" si="100"/>
        <v>0</v>
      </c>
      <c r="BG52" s="416">
        <f t="shared" si="101"/>
        <v>0</v>
      </c>
      <c r="BH52" s="417"/>
      <c r="BI52" s="418">
        <f t="shared" si="0"/>
        <v>0</v>
      </c>
      <c r="BJ52" s="414">
        <f>IF($I52=0,0,VLOOKUP($I52,'Implemente &amp; Waens'!$A:$Z,COLUMN('Implemente &amp; Waens'!M$5),FALSE))</f>
        <v>0</v>
      </c>
      <c r="BK52" s="414">
        <f>IF($I52=0,0,VLOOKUP($I52,'Implemente &amp; Waens'!$A:$Z,COLUMN('Implemente &amp; Waens'!N$5),FALSE))</f>
        <v>0</v>
      </c>
      <c r="BL52" s="415">
        <f t="shared" si="102"/>
        <v>0</v>
      </c>
      <c r="BM52" s="414">
        <f>IF($I52=0,0,VLOOKUP($I52,'Implemente &amp; Waens'!$A:$Z,COLUMN('Implemente &amp; Waens'!I$5),FALSE)*$E$9/100)</f>
        <v>0</v>
      </c>
      <c r="BN52" s="414">
        <f>IF($I52=0,0,VLOOKUP($I52,'Implemente &amp; Waens'!$A:$Z,COLUMN('Implemente &amp; Waens'!J$5),FALSE))</f>
        <v>0</v>
      </c>
      <c r="BO52" s="414">
        <f>IF($I52=0,0,VLOOKUP($I52,'Implemente &amp; Waens'!$A:$Z,COLUMN('Implemente &amp; Waens'!K$5),FALSE)/$G$8*$E$8)</f>
        <v>0</v>
      </c>
      <c r="BP52" s="415">
        <f t="shared" si="103"/>
        <v>0</v>
      </c>
      <c r="BQ52" s="416">
        <f t="shared" si="104"/>
        <v>0</v>
      </c>
    </row>
    <row r="53" spans="2:69">
      <c r="B53" s="397"/>
      <c r="C53" s="731"/>
      <c r="D53" s="398"/>
      <c r="E53" s="399">
        <f>IF($D53="",0,VLOOKUP($D53,Trekkers!$A:$U,COLUMN(Trekkers!C$5),FALSE))</f>
        <v>0</v>
      </c>
      <c r="F53" s="399">
        <f>IF($D53="",0,VLOOKUP($D53,Trekkers!$A:$U,COLUMN(Trekkers!D$5),FALSE))</f>
        <v>0</v>
      </c>
      <c r="G53" s="399">
        <f>IF($D53="",0,VLOOKUP($D53,Trekkers!$A:$U,COLUMN(Trekkers!E$5),FALSE))</f>
        <v>0</v>
      </c>
      <c r="H53" s="815"/>
      <c r="I53" s="398"/>
      <c r="J53" s="400">
        <f>IF($I53=0,0,VLOOKUP($I53,'Implemente &amp; Waens'!$A:$Z,COLUMN('Implemente &amp; Waens'!C$5),FALSE))</f>
        <v>0</v>
      </c>
      <c r="K53" s="967"/>
      <c r="L53" s="729"/>
      <c r="M53" s="730"/>
      <c r="N53" s="402">
        <f t="shared" si="82"/>
        <v>0</v>
      </c>
      <c r="O53" s="403">
        <f t="shared" si="83"/>
        <v>0</v>
      </c>
      <c r="P53" s="915">
        <f t="shared" si="30"/>
        <v>0</v>
      </c>
      <c r="Q53" s="915">
        <f t="shared" si="31"/>
        <v>0</v>
      </c>
      <c r="R53" s="915">
        <f t="shared" si="32"/>
        <v>0</v>
      </c>
      <c r="S53" s="923">
        <f t="shared" si="33"/>
        <v>0</v>
      </c>
      <c r="T53" s="917">
        <f t="shared" si="34"/>
        <v>0</v>
      </c>
      <c r="U53" s="919">
        <f t="shared" si="35"/>
        <v>0</v>
      </c>
      <c r="V53" s="923">
        <f t="shared" si="36"/>
        <v>0</v>
      </c>
      <c r="X53" s="404">
        <f t="shared" si="84"/>
        <v>0</v>
      </c>
      <c r="Y53" s="405">
        <f t="shared" si="85"/>
        <v>0</v>
      </c>
      <c r="Z53" s="406">
        <f t="shared" si="86"/>
        <v>0</v>
      </c>
      <c r="AA53" s="404">
        <f t="shared" si="87"/>
        <v>0</v>
      </c>
      <c r="AB53" s="405">
        <f t="shared" si="88"/>
        <v>0</v>
      </c>
      <c r="AC53" s="407">
        <f t="shared" si="89"/>
        <v>0</v>
      </c>
      <c r="AD53" s="408">
        <f t="shared" si="90"/>
        <v>0</v>
      </c>
      <c r="AE53" s="409">
        <f t="shared" si="91"/>
        <v>0</v>
      </c>
      <c r="AF53" s="410">
        <f t="shared" si="9"/>
        <v>0</v>
      </c>
      <c r="AG53" s="411">
        <f t="shared" si="92"/>
        <v>0</v>
      </c>
      <c r="AH53" s="412">
        <f t="shared" si="93"/>
        <v>0</v>
      </c>
      <c r="AJ53" s="730">
        <v>1</v>
      </c>
      <c r="AL53" s="413">
        <f t="shared" si="12"/>
        <v>0</v>
      </c>
      <c r="AM53" s="414">
        <f t="shared" si="94"/>
        <v>0</v>
      </c>
      <c r="AN53" s="414">
        <f t="shared" si="14"/>
        <v>0</v>
      </c>
      <c r="AO53" s="414">
        <f t="shared" si="15"/>
        <v>0</v>
      </c>
      <c r="AP53" s="415">
        <f t="shared" si="95"/>
        <v>0</v>
      </c>
      <c r="AQ53" s="414">
        <f t="shared" si="17"/>
        <v>0</v>
      </c>
      <c r="AR53" s="414">
        <f t="shared" si="18"/>
        <v>0</v>
      </c>
      <c r="AS53" s="414">
        <f t="shared" si="19"/>
        <v>0</v>
      </c>
      <c r="AT53" s="415">
        <f t="shared" si="96"/>
        <v>0</v>
      </c>
      <c r="AU53" s="416">
        <f t="shared" si="97"/>
        <v>0</v>
      </c>
      <c r="AV53" s="417"/>
      <c r="AW53" s="418">
        <f t="shared" si="22"/>
        <v>0</v>
      </c>
      <c r="AX53" s="413">
        <f>IF(D53="",0,E53*VLOOKUP(H53,Trekkers!$E$141:$L$143,COLUMNS(Trekkers!$E$141:$L$141),FALSE)*AJ53)</f>
        <v>0</v>
      </c>
      <c r="AY53" s="414">
        <f t="shared" si="98"/>
        <v>0</v>
      </c>
      <c r="AZ53" s="414">
        <f>IF(D53="",0,VLOOKUP($D53,Trekkers!$A:$V,COLUMN(Trekkers!$K$5),FALSE))</f>
        <v>0</v>
      </c>
      <c r="BA53" s="414">
        <f>0</f>
        <v>0</v>
      </c>
      <c r="BB53" s="415">
        <f t="shared" si="99"/>
        <v>0</v>
      </c>
      <c r="BC53" s="414">
        <f>IF($D53="",0,VLOOKUP($D53,Trekkers!$A:$V,COLUMN(Trekkers!$G$5),FALSE)*$E$9/100)</f>
        <v>0</v>
      </c>
      <c r="BD53" s="414">
        <f>IF($D53="",0,VLOOKUP($D53,Trekkers!$A:$V,COLUMN(Trekkers!$H$5),FALSE))</f>
        <v>0</v>
      </c>
      <c r="BE53" s="414">
        <f>IF($D53="",0,VLOOKUP($D53,Trekkers!$A:$V,COLUMN(Trekkers!$I$5),FALSE)/$G$8*$E$8)</f>
        <v>0</v>
      </c>
      <c r="BF53" s="415">
        <f t="shared" si="100"/>
        <v>0</v>
      </c>
      <c r="BG53" s="416">
        <f t="shared" si="101"/>
        <v>0</v>
      </c>
      <c r="BH53" s="417"/>
      <c r="BI53" s="418">
        <f t="shared" si="0"/>
        <v>0</v>
      </c>
      <c r="BJ53" s="414">
        <f>IF($I53=0,0,VLOOKUP($I53,'Implemente &amp; Waens'!$A:$Z,COLUMN('Implemente &amp; Waens'!M$5),FALSE))</f>
        <v>0</v>
      </c>
      <c r="BK53" s="414">
        <f>IF($I53=0,0,VLOOKUP($I53,'Implemente &amp; Waens'!$A:$Z,COLUMN('Implemente &amp; Waens'!N$5),FALSE))</f>
        <v>0</v>
      </c>
      <c r="BL53" s="415">
        <f t="shared" si="102"/>
        <v>0</v>
      </c>
      <c r="BM53" s="414">
        <f>IF($I53=0,0,VLOOKUP($I53,'Implemente &amp; Waens'!$A:$Z,COLUMN('Implemente &amp; Waens'!I$5),FALSE)*$E$9/100)</f>
        <v>0</v>
      </c>
      <c r="BN53" s="414">
        <f>IF($I53=0,0,VLOOKUP($I53,'Implemente &amp; Waens'!$A:$Z,COLUMN('Implemente &amp; Waens'!J$5),FALSE))</f>
        <v>0</v>
      </c>
      <c r="BO53" s="414">
        <f>IF($I53=0,0,VLOOKUP($I53,'Implemente &amp; Waens'!$A:$Z,COLUMN('Implemente &amp; Waens'!K$5),FALSE)/$G$8*$E$8)</f>
        <v>0</v>
      </c>
      <c r="BP53" s="415">
        <f t="shared" si="103"/>
        <v>0</v>
      </c>
      <c r="BQ53" s="416">
        <f t="shared" si="104"/>
        <v>0</v>
      </c>
    </row>
    <row r="54" spans="2:69">
      <c r="B54" s="397"/>
      <c r="C54" s="731"/>
      <c r="D54" s="398"/>
      <c r="E54" s="399">
        <f>IF($D54="",0,VLOOKUP($D54,Trekkers!$A:$U,COLUMN(Trekkers!C$5),FALSE))</f>
        <v>0</v>
      </c>
      <c r="F54" s="399">
        <f>IF($D54="",0,VLOOKUP($D54,Trekkers!$A:$U,COLUMN(Trekkers!D$5),FALSE))</f>
        <v>0</v>
      </c>
      <c r="G54" s="399">
        <f>IF($D54="",0,VLOOKUP($D54,Trekkers!$A:$U,COLUMN(Trekkers!E$5),FALSE))</f>
        <v>0</v>
      </c>
      <c r="H54" s="815"/>
      <c r="I54" s="398"/>
      <c r="J54" s="400">
        <f>IF($I54=0,0,VLOOKUP($I54,'Implemente &amp; Waens'!$A:$Z,COLUMN('Implemente &amp; Waens'!C$5),FALSE))</f>
        <v>0</v>
      </c>
      <c r="K54" s="967"/>
      <c r="L54" s="729"/>
      <c r="M54" s="730"/>
      <c r="N54" s="402">
        <f t="shared" si="82"/>
        <v>0</v>
      </c>
      <c r="O54" s="403">
        <f t="shared" si="83"/>
        <v>0</v>
      </c>
      <c r="P54" s="915">
        <f t="shared" si="30"/>
        <v>0</v>
      </c>
      <c r="Q54" s="915">
        <f t="shared" si="31"/>
        <v>0</v>
      </c>
      <c r="R54" s="915">
        <f t="shared" si="32"/>
        <v>0</v>
      </c>
      <c r="S54" s="923">
        <f t="shared" si="33"/>
        <v>0</v>
      </c>
      <c r="T54" s="917">
        <f t="shared" si="34"/>
        <v>0</v>
      </c>
      <c r="U54" s="919">
        <f t="shared" si="35"/>
        <v>0</v>
      </c>
      <c r="V54" s="923">
        <f t="shared" si="36"/>
        <v>0</v>
      </c>
      <c r="X54" s="404">
        <f t="shared" si="84"/>
        <v>0</v>
      </c>
      <c r="Y54" s="405">
        <f t="shared" si="85"/>
        <v>0</v>
      </c>
      <c r="Z54" s="406">
        <f t="shared" si="86"/>
        <v>0</v>
      </c>
      <c r="AA54" s="404">
        <f t="shared" si="87"/>
        <v>0</v>
      </c>
      <c r="AB54" s="405">
        <f t="shared" si="88"/>
        <v>0</v>
      </c>
      <c r="AC54" s="407">
        <f t="shared" si="89"/>
        <v>0</v>
      </c>
      <c r="AD54" s="408">
        <f t="shared" si="90"/>
        <v>0</v>
      </c>
      <c r="AE54" s="409">
        <f t="shared" si="91"/>
        <v>0</v>
      </c>
      <c r="AF54" s="410">
        <f t="shared" si="9"/>
        <v>0</v>
      </c>
      <c r="AG54" s="411">
        <f t="shared" si="92"/>
        <v>0</v>
      </c>
      <c r="AH54" s="412">
        <f t="shared" si="93"/>
        <v>0</v>
      </c>
      <c r="AJ54" s="730">
        <v>1</v>
      </c>
      <c r="AL54" s="413">
        <f t="shared" si="12"/>
        <v>0</v>
      </c>
      <c r="AM54" s="414">
        <f t="shared" si="94"/>
        <v>0</v>
      </c>
      <c r="AN54" s="414">
        <f t="shared" si="14"/>
        <v>0</v>
      </c>
      <c r="AO54" s="414">
        <f t="shared" si="15"/>
        <v>0</v>
      </c>
      <c r="AP54" s="415">
        <f t="shared" si="95"/>
        <v>0</v>
      </c>
      <c r="AQ54" s="414">
        <f t="shared" si="17"/>
        <v>0</v>
      </c>
      <c r="AR54" s="414">
        <f t="shared" si="18"/>
        <v>0</v>
      </c>
      <c r="AS54" s="414">
        <f t="shared" si="19"/>
        <v>0</v>
      </c>
      <c r="AT54" s="415">
        <f t="shared" si="96"/>
        <v>0</v>
      </c>
      <c r="AU54" s="416">
        <f t="shared" si="97"/>
        <v>0</v>
      </c>
      <c r="AV54" s="417"/>
      <c r="AW54" s="418">
        <f t="shared" si="22"/>
        <v>0</v>
      </c>
      <c r="AX54" s="413">
        <f>IF(D54="",0,E54*VLOOKUP(H54,Trekkers!$E$141:$L$143,COLUMNS(Trekkers!$E$141:$L$141),FALSE)*AJ54)</f>
        <v>0</v>
      </c>
      <c r="AY54" s="414">
        <f t="shared" si="98"/>
        <v>0</v>
      </c>
      <c r="AZ54" s="414">
        <f>IF(D54="",0,VLOOKUP($D54,Trekkers!$A:$V,COLUMN(Trekkers!$K$5),FALSE))</f>
        <v>0</v>
      </c>
      <c r="BA54" s="414">
        <f>0</f>
        <v>0</v>
      </c>
      <c r="BB54" s="415">
        <f t="shared" si="99"/>
        <v>0</v>
      </c>
      <c r="BC54" s="414">
        <f>IF($D54="",0,VLOOKUP($D54,Trekkers!$A:$V,COLUMN(Trekkers!$G$5),FALSE)*$E$9/100)</f>
        <v>0</v>
      </c>
      <c r="BD54" s="414">
        <f>IF($D54="",0,VLOOKUP($D54,Trekkers!$A:$V,COLUMN(Trekkers!$H$5),FALSE))</f>
        <v>0</v>
      </c>
      <c r="BE54" s="414">
        <f>IF($D54="",0,VLOOKUP($D54,Trekkers!$A:$V,COLUMN(Trekkers!$I$5),FALSE)/$G$8*$E$8)</f>
        <v>0</v>
      </c>
      <c r="BF54" s="415">
        <f t="shared" si="100"/>
        <v>0</v>
      </c>
      <c r="BG54" s="416">
        <f t="shared" si="101"/>
        <v>0</v>
      </c>
      <c r="BH54" s="417"/>
      <c r="BI54" s="418">
        <f t="shared" si="0"/>
        <v>0</v>
      </c>
      <c r="BJ54" s="414">
        <f>IF($I54=0,0,VLOOKUP($I54,'Implemente &amp; Waens'!$A:$Z,COLUMN('Implemente &amp; Waens'!M$5),FALSE))</f>
        <v>0</v>
      </c>
      <c r="BK54" s="414">
        <f>IF($I54=0,0,VLOOKUP($I54,'Implemente &amp; Waens'!$A:$Z,COLUMN('Implemente &amp; Waens'!N$5),FALSE))</f>
        <v>0</v>
      </c>
      <c r="BL54" s="415">
        <f t="shared" si="102"/>
        <v>0</v>
      </c>
      <c r="BM54" s="414">
        <f>IF($I54=0,0,VLOOKUP($I54,'Implemente &amp; Waens'!$A:$Z,COLUMN('Implemente &amp; Waens'!I$5),FALSE)*$E$9/100)</f>
        <v>0</v>
      </c>
      <c r="BN54" s="414">
        <f>IF($I54=0,0,VLOOKUP($I54,'Implemente &amp; Waens'!$A:$Z,COLUMN('Implemente &amp; Waens'!J$5),FALSE))</f>
        <v>0</v>
      </c>
      <c r="BO54" s="414">
        <f>IF($I54=0,0,VLOOKUP($I54,'Implemente &amp; Waens'!$A:$Z,COLUMN('Implemente &amp; Waens'!K$5),FALSE)/$G$8*$E$8)</f>
        <v>0</v>
      </c>
      <c r="BP54" s="415">
        <f t="shared" si="103"/>
        <v>0</v>
      </c>
      <c r="BQ54" s="416">
        <f t="shared" si="104"/>
        <v>0</v>
      </c>
    </row>
    <row r="55" spans="2:69">
      <c r="B55" s="397"/>
      <c r="C55" s="731"/>
      <c r="D55" s="398"/>
      <c r="E55" s="399">
        <f>IF($D55="",0,VLOOKUP($D55,Trekkers!$A:$U,COLUMN(Trekkers!C$5),FALSE))</f>
        <v>0</v>
      </c>
      <c r="F55" s="399">
        <f>IF($D55="",0,VLOOKUP($D55,Trekkers!$A:$U,COLUMN(Trekkers!D$5),FALSE))</f>
        <v>0</v>
      </c>
      <c r="G55" s="399">
        <f>IF($D55="",0,VLOOKUP($D55,Trekkers!$A:$U,COLUMN(Trekkers!E$5),FALSE))</f>
        <v>0</v>
      </c>
      <c r="H55" s="815"/>
      <c r="I55" s="398"/>
      <c r="J55" s="400">
        <f>IF($I55=0,0,VLOOKUP($I55,'Implemente &amp; Waens'!$A:$Z,COLUMN('Implemente &amp; Waens'!C$5),FALSE))</f>
        <v>0</v>
      </c>
      <c r="K55" s="967"/>
      <c r="L55" s="729"/>
      <c r="M55" s="730"/>
      <c r="N55" s="402">
        <f t="shared" si="82"/>
        <v>0</v>
      </c>
      <c r="O55" s="403">
        <f t="shared" si="83"/>
        <v>0</v>
      </c>
      <c r="P55" s="915">
        <f t="shared" si="30"/>
        <v>0</v>
      </c>
      <c r="Q55" s="915">
        <f t="shared" si="31"/>
        <v>0</v>
      </c>
      <c r="R55" s="915">
        <f t="shared" si="32"/>
        <v>0</v>
      </c>
      <c r="S55" s="923">
        <f t="shared" si="33"/>
        <v>0</v>
      </c>
      <c r="T55" s="917">
        <f t="shared" si="34"/>
        <v>0</v>
      </c>
      <c r="U55" s="919">
        <f t="shared" si="35"/>
        <v>0</v>
      </c>
      <c r="V55" s="923">
        <f t="shared" si="36"/>
        <v>0</v>
      </c>
      <c r="X55" s="404">
        <f t="shared" si="84"/>
        <v>0</v>
      </c>
      <c r="Y55" s="405">
        <f t="shared" si="85"/>
        <v>0</v>
      </c>
      <c r="Z55" s="406">
        <f t="shared" si="86"/>
        <v>0</v>
      </c>
      <c r="AA55" s="404">
        <f t="shared" si="87"/>
        <v>0</v>
      </c>
      <c r="AB55" s="405">
        <f t="shared" si="88"/>
        <v>0</v>
      </c>
      <c r="AC55" s="407">
        <f t="shared" si="89"/>
        <v>0</v>
      </c>
      <c r="AD55" s="408">
        <f t="shared" si="90"/>
        <v>0</v>
      </c>
      <c r="AE55" s="409">
        <f t="shared" si="91"/>
        <v>0</v>
      </c>
      <c r="AF55" s="410">
        <f t="shared" si="9"/>
        <v>0</v>
      </c>
      <c r="AG55" s="411">
        <f t="shared" si="92"/>
        <v>0</v>
      </c>
      <c r="AH55" s="412">
        <f t="shared" si="93"/>
        <v>0</v>
      </c>
      <c r="AJ55" s="730">
        <v>1</v>
      </c>
      <c r="AL55" s="413">
        <f t="shared" si="12"/>
        <v>0</v>
      </c>
      <c r="AM55" s="414">
        <f t="shared" si="94"/>
        <v>0</v>
      </c>
      <c r="AN55" s="414">
        <f t="shared" si="14"/>
        <v>0</v>
      </c>
      <c r="AO55" s="414">
        <f t="shared" si="15"/>
        <v>0</v>
      </c>
      <c r="AP55" s="415">
        <f t="shared" si="95"/>
        <v>0</v>
      </c>
      <c r="AQ55" s="414">
        <f t="shared" si="17"/>
        <v>0</v>
      </c>
      <c r="AR55" s="414">
        <f t="shared" si="18"/>
        <v>0</v>
      </c>
      <c r="AS55" s="414">
        <f t="shared" si="19"/>
        <v>0</v>
      </c>
      <c r="AT55" s="415">
        <f t="shared" si="96"/>
        <v>0</v>
      </c>
      <c r="AU55" s="416">
        <f t="shared" si="97"/>
        <v>0</v>
      </c>
      <c r="AV55" s="417"/>
      <c r="AW55" s="418">
        <f t="shared" si="22"/>
        <v>0</v>
      </c>
      <c r="AX55" s="413">
        <f>IF(D55="",0,E55*VLOOKUP(H55,Trekkers!$E$141:$L$143,COLUMNS(Trekkers!$E$141:$L$141),FALSE)*AJ55)</f>
        <v>0</v>
      </c>
      <c r="AY55" s="414">
        <f t="shared" si="98"/>
        <v>0</v>
      </c>
      <c r="AZ55" s="414">
        <f>IF(D55="",0,VLOOKUP($D55,Trekkers!$A:$V,COLUMN(Trekkers!$K$5),FALSE))</f>
        <v>0</v>
      </c>
      <c r="BA55" s="414">
        <f>0</f>
        <v>0</v>
      </c>
      <c r="BB55" s="415">
        <f t="shared" si="99"/>
        <v>0</v>
      </c>
      <c r="BC55" s="414">
        <f>IF($D55="",0,VLOOKUP($D55,Trekkers!$A:$V,COLUMN(Trekkers!$G$5),FALSE)*$E$9/100)</f>
        <v>0</v>
      </c>
      <c r="BD55" s="414">
        <f>IF($D55="",0,VLOOKUP($D55,Trekkers!$A:$V,COLUMN(Trekkers!$H$5),FALSE))</f>
        <v>0</v>
      </c>
      <c r="BE55" s="414">
        <f>IF($D55="",0,VLOOKUP($D55,Trekkers!$A:$V,COLUMN(Trekkers!$I$5),FALSE)/$G$8*$E$8)</f>
        <v>0</v>
      </c>
      <c r="BF55" s="415">
        <f t="shared" si="100"/>
        <v>0</v>
      </c>
      <c r="BG55" s="416">
        <f t="shared" si="101"/>
        <v>0</v>
      </c>
      <c r="BH55" s="417"/>
      <c r="BI55" s="418">
        <f t="shared" si="0"/>
        <v>0</v>
      </c>
      <c r="BJ55" s="414">
        <f>IF($I55=0,0,VLOOKUP($I55,'Implemente &amp; Waens'!$A:$Z,COLUMN('Implemente &amp; Waens'!M$5),FALSE))</f>
        <v>0</v>
      </c>
      <c r="BK55" s="414">
        <f>IF($I55=0,0,VLOOKUP($I55,'Implemente &amp; Waens'!$A:$Z,COLUMN('Implemente &amp; Waens'!N$5),FALSE))</f>
        <v>0</v>
      </c>
      <c r="BL55" s="415">
        <f t="shared" si="102"/>
        <v>0</v>
      </c>
      <c r="BM55" s="414">
        <f>IF($I55=0,0,VLOOKUP($I55,'Implemente &amp; Waens'!$A:$Z,COLUMN('Implemente &amp; Waens'!I$5),FALSE)*$E$9/100)</f>
        <v>0</v>
      </c>
      <c r="BN55" s="414">
        <f>IF($I55=0,0,VLOOKUP($I55,'Implemente &amp; Waens'!$A:$Z,COLUMN('Implemente &amp; Waens'!J$5),FALSE))</f>
        <v>0</v>
      </c>
      <c r="BO55" s="414">
        <f>IF($I55=0,0,VLOOKUP($I55,'Implemente &amp; Waens'!$A:$Z,COLUMN('Implemente &amp; Waens'!K$5),FALSE)/$G$8*$E$8)</f>
        <v>0</v>
      </c>
      <c r="BP55" s="415">
        <f t="shared" si="103"/>
        <v>0</v>
      </c>
      <c r="BQ55" s="416">
        <f t="shared" si="104"/>
        <v>0</v>
      </c>
    </row>
    <row r="56" spans="2:69">
      <c r="B56" s="397"/>
      <c r="C56" s="731"/>
      <c r="D56" s="398"/>
      <c r="E56" s="399">
        <f>IF($D56="",0,VLOOKUP($D56,Trekkers!$A:$U,COLUMN(Trekkers!C$5),FALSE))</f>
        <v>0</v>
      </c>
      <c r="F56" s="399">
        <f>IF($D56="",0,VLOOKUP($D56,Trekkers!$A:$U,COLUMN(Trekkers!D$5),FALSE))</f>
        <v>0</v>
      </c>
      <c r="G56" s="399">
        <f>IF($D56="",0,VLOOKUP($D56,Trekkers!$A:$U,COLUMN(Trekkers!E$5),FALSE))</f>
        <v>0</v>
      </c>
      <c r="H56" s="815"/>
      <c r="I56" s="398"/>
      <c r="J56" s="400">
        <f>IF($I56=0,0,VLOOKUP($I56,'Implemente &amp; Waens'!$A:$Z,COLUMN('Implemente &amp; Waens'!C$5),FALSE))</f>
        <v>0</v>
      </c>
      <c r="K56" s="967"/>
      <c r="L56" s="729"/>
      <c r="M56" s="730"/>
      <c r="N56" s="402">
        <f t="shared" si="1"/>
        <v>0</v>
      </c>
      <c r="O56" s="403">
        <f t="shared" si="37"/>
        <v>0</v>
      </c>
      <c r="P56" s="915">
        <f t="shared" si="30"/>
        <v>0</v>
      </c>
      <c r="Q56" s="915">
        <f t="shared" si="31"/>
        <v>0</v>
      </c>
      <c r="R56" s="915">
        <f t="shared" si="32"/>
        <v>0</v>
      </c>
      <c r="S56" s="923">
        <f t="shared" si="33"/>
        <v>0</v>
      </c>
      <c r="T56" s="917">
        <f t="shared" si="34"/>
        <v>0</v>
      </c>
      <c r="U56" s="919">
        <f t="shared" si="35"/>
        <v>0</v>
      </c>
      <c r="V56" s="923">
        <f t="shared" si="36"/>
        <v>0</v>
      </c>
      <c r="X56" s="404">
        <f t="shared" si="3"/>
        <v>0</v>
      </c>
      <c r="Y56" s="405">
        <f t="shared" si="80"/>
        <v>0</v>
      </c>
      <c r="Z56" s="406">
        <f t="shared" si="80"/>
        <v>0</v>
      </c>
      <c r="AA56" s="404">
        <f t="shared" si="5"/>
        <v>0</v>
      </c>
      <c r="AB56" s="405">
        <f t="shared" si="81"/>
        <v>0</v>
      </c>
      <c r="AC56" s="407">
        <f t="shared" si="81"/>
        <v>0</v>
      </c>
      <c r="AD56" s="408">
        <f t="shared" si="38"/>
        <v>0</v>
      </c>
      <c r="AE56" s="409">
        <f t="shared" si="8"/>
        <v>0</v>
      </c>
      <c r="AF56" s="410">
        <f t="shared" si="9"/>
        <v>0</v>
      </c>
      <c r="AG56" s="411">
        <f t="shared" si="39"/>
        <v>0</v>
      </c>
      <c r="AH56" s="412">
        <f t="shared" si="11"/>
        <v>0</v>
      </c>
      <c r="AJ56" s="730">
        <v>1</v>
      </c>
      <c r="AL56" s="413">
        <f t="shared" si="12"/>
        <v>0</v>
      </c>
      <c r="AM56" s="414">
        <f t="shared" si="13"/>
        <v>0</v>
      </c>
      <c r="AN56" s="414">
        <f t="shared" si="14"/>
        <v>0</v>
      </c>
      <c r="AO56" s="414">
        <f t="shared" si="15"/>
        <v>0</v>
      </c>
      <c r="AP56" s="415">
        <f t="shared" si="16"/>
        <v>0</v>
      </c>
      <c r="AQ56" s="414">
        <f t="shared" si="17"/>
        <v>0</v>
      </c>
      <c r="AR56" s="414">
        <f t="shared" si="18"/>
        <v>0</v>
      </c>
      <c r="AS56" s="414">
        <f t="shared" si="19"/>
        <v>0</v>
      </c>
      <c r="AT56" s="415">
        <f t="shared" si="20"/>
        <v>0</v>
      </c>
      <c r="AU56" s="416">
        <f t="shared" si="21"/>
        <v>0</v>
      </c>
      <c r="AV56" s="417"/>
      <c r="AW56" s="418">
        <f t="shared" si="22"/>
        <v>0</v>
      </c>
      <c r="AX56" s="413">
        <f>IF(D56="",0,E56*VLOOKUP(H56,Trekkers!$E$141:$L$143,COLUMNS(Trekkers!$E$141:$L$141),FALSE)*AJ56)</f>
        <v>0</v>
      </c>
      <c r="AY56" s="414">
        <f t="shared" si="23"/>
        <v>0</v>
      </c>
      <c r="AZ56" s="414">
        <f>IF(D56="",0,VLOOKUP($D56,Trekkers!$A:$V,COLUMN(Trekkers!$K$5),FALSE))</f>
        <v>0</v>
      </c>
      <c r="BA56" s="414">
        <f>0</f>
        <v>0</v>
      </c>
      <c r="BB56" s="415">
        <f t="shared" si="24"/>
        <v>0</v>
      </c>
      <c r="BC56" s="414">
        <f>IF($D56="",0,VLOOKUP($D56,Trekkers!$A:$V,COLUMN(Trekkers!$G$5),FALSE)*$E$9/100)</f>
        <v>0</v>
      </c>
      <c r="BD56" s="414">
        <f>IF($D56="",0,VLOOKUP($D56,Trekkers!$A:$V,COLUMN(Trekkers!$H$5),FALSE))</f>
        <v>0</v>
      </c>
      <c r="BE56" s="414">
        <f>IF($D56="",0,VLOOKUP($D56,Trekkers!$A:$V,COLUMN(Trekkers!$I$5),FALSE)/$G$8*$E$8)</f>
        <v>0</v>
      </c>
      <c r="BF56" s="415">
        <f t="shared" si="25"/>
        <v>0</v>
      </c>
      <c r="BG56" s="416">
        <f t="shared" si="26"/>
        <v>0</v>
      </c>
      <c r="BH56" s="417"/>
      <c r="BI56" s="418">
        <f t="shared" si="0"/>
        <v>0</v>
      </c>
      <c r="BJ56" s="414">
        <f>IF($I56=0,0,VLOOKUP($I56,'Implemente &amp; Waens'!$A:$Z,COLUMN('Implemente &amp; Waens'!M$5),FALSE))</f>
        <v>0</v>
      </c>
      <c r="BK56" s="414">
        <f>IF($I56=0,0,VLOOKUP($I56,'Implemente &amp; Waens'!$A:$Z,COLUMN('Implemente &amp; Waens'!N$5),FALSE))</f>
        <v>0</v>
      </c>
      <c r="BL56" s="415">
        <f t="shared" si="27"/>
        <v>0</v>
      </c>
      <c r="BM56" s="414">
        <f>IF($I56=0,0,VLOOKUP($I56,'Implemente &amp; Waens'!$A:$Z,COLUMN('Implemente &amp; Waens'!I$5),FALSE)*$E$9/100)</f>
        <v>0</v>
      </c>
      <c r="BN56" s="414">
        <f>IF($I56=0,0,VLOOKUP($I56,'Implemente &amp; Waens'!$A:$Z,COLUMN('Implemente &amp; Waens'!J$5),FALSE))</f>
        <v>0</v>
      </c>
      <c r="BO56" s="414">
        <f>IF($I56=0,0,VLOOKUP($I56,'Implemente &amp; Waens'!$A:$Z,COLUMN('Implemente &amp; Waens'!K$5),FALSE)/$G$8*$E$8)</f>
        <v>0</v>
      </c>
      <c r="BP56" s="415">
        <f t="shared" si="28"/>
        <v>0</v>
      </c>
      <c r="BQ56" s="416">
        <f t="shared" si="29"/>
        <v>0</v>
      </c>
    </row>
    <row r="57" spans="2:69">
      <c r="B57" s="397"/>
      <c r="C57" s="731"/>
      <c r="D57" s="398"/>
      <c r="E57" s="399">
        <f>IF($D57="",0,VLOOKUP($D57,Trekkers!$A:$U,COLUMN(Trekkers!C$5),FALSE))</f>
        <v>0</v>
      </c>
      <c r="F57" s="399">
        <f>IF($D57="",0,VLOOKUP($D57,Trekkers!$A:$U,COLUMN(Trekkers!D$5),FALSE))</f>
        <v>0</v>
      </c>
      <c r="G57" s="399">
        <f>IF($D57="",0,VLOOKUP($D57,Trekkers!$A:$U,COLUMN(Trekkers!E$5),FALSE))</f>
        <v>0</v>
      </c>
      <c r="H57" s="815"/>
      <c r="I57" s="398"/>
      <c r="J57" s="400">
        <f>IF($I57=0,0,VLOOKUP($I57,'Implemente &amp; Waens'!$A:$Z,COLUMN('Implemente &amp; Waens'!C$5),FALSE))</f>
        <v>0</v>
      </c>
      <c r="K57" s="967"/>
      <c r="L57" s="729"/>
      <c r="M57" s="730"/>
      <c r="N57" s="402">
        <f>IF(COUNT(K57:M57)=3,10000/((K57*(L57*1000))*M57),0)</f>
        <v>0</v>
      </c>
      <c r="O57" s="403">
        <f>K57*L57*M57/10</f>
        <v>0</v>
      </c>
      <c r="P57" s="915">
        <f t="shared" si="30"/>
        <v>0</v>
      </c>
      <c r="Q57" s="915">
        <f t="shared" si="31"/>
        <v>0</v>
      </c>
      <c r="R57" s="915">
        <f t="shared" si="32"/>
        <v>0</v>
      </c>
      <c r="S57" s="923">
        <f t="shared" si="33"/>
        <v>0</v>
      </c>
      <c r="T57" s="917">
        <f t="shared" si="34"/>
        <v>0</v>
      </c>
      <c r="U57" s="919">
        <f t="shared" si="35"/>
        <v>0</v>
      </c>
      <c r="V57" s="923">
        <f t="shared" si="36"/>
        <v>0</v>
      </c>
      <c r="X57" s="404">
        <f>BB57</f>
        <v>0</v>
      </c>
      <c r="Y57" s="405">
        <f>BF57</f>
        <v>0</v>
      </c>
      <c r="Z57" s="406">
        <f>BG57</f>
        <v>0</v>
      </c>
      <c r="AA57" s="404">
        <f>BL57</f>
        <v>0</v>
      </c>
      <c r="AB57" s="405">
        <f>BP57</f>
        <v>0</v>
      </c>
      <c r="AC57" s="407">
        <f>BQ57</f>
        <v>0</v>
      </c>
      <c r="AD57" s="408">
        <f t="shared" si="38"/>
        <v>0</v>
      </c>
      <c r="AE57" s="409">
        <f t="shared" si="8"/>
        <v>0</v>
      </c>
      <c r="AF57" s="410">
        <f t="shared" si="9"/>
        <v>0</v>
      </c>
      <c r="AG57" s="411">
        <f t="shared" si="39"/>
        <v>0</v>
      </c>
      <c r="AH57" s="412">
        <f>AU57</f>
        <v>0</v>
      </c>
      <c r="AJ57" s="730">
        <v>1</v>
      </c>
      <c r="AL57" s="413">
        <f t="shared" si="12"/>
        <v>0</v>
      </c>
      <c r="AM57" s="414">
        <f t="shared" si="13"/>
        <v>0</v>
      </c>
      <c r="AN57" s="414">
        <f t="shared" si="14"/>
        <v>0</v>
      </c>
      <c r="AO57" s="414">
        <f t="shared" si="15"/>
        <v>0</v>
      </c>
      <c r="AP57" s="415">
        <f>SUM(AM57:AO57)</f>
        <v>0</v>
      </c>
      <c r="AQ57" s="414">
        <f t="shared" si="17"/>
        <v>0</v>
      </c>
      <c r="AR57" s="414">
        <f t="shared" si="18"/>
        <v>0</v>
      </c>
      <c r="AS57" s="414">
        <f t="shared" si="19"/>
        <v>0</v>
      </c>
      <c r="AT57" s="415">
        <f>SUM(AQ57:AS57)</f>
        <v>0</v>
      </c>
      <c r="AU57" s="416">
        <f>AP57+AT57</f>
        <v>0</v>
      </c>
      <c r="AV57" s="417"/>
      <c r="AW57" s="418">
        <f t="shared" si="22"/>
        <v>0</v>
      </c>
      <c r="AX57" s="413">
        <f>IF(D57="",0,E57*VLOOKUP(H57,Trekkers!$E$141:$L$143,COLUMNS(Trekkers!$E$141:$L$141),FALSE)*AJ57)</f>
        <v>0</v>
      </c>
      <c r="AY57" s="414">
        <f>AX57*$E$7</f>
        <v>0</v>
      </c>
      <c r="AZ57" s="414">
        <f>IF(D57="",0,VLOOKUP($D57,Trekkers!$A:$V,COLUMN(Trekkers!$K$5),FALSE))</f>
        <v>0</v>
      </c>
      <c r="BA57" s="414">
        <f>0</f>
        <v>0</v>
      </c>
      <c r="BB57" s="415">
        <f>SUM(AY57:BA57)</f>
        <v>0</v>
      </c>
      <c r="BC57" s="414">
        <f>IF($D57="",0,VLOOKUP($D57,Trekkers!$A:$V,COLUMN(Trekkers!$G$5),FALSE)*$E$9/100)</f>
        <v>0</v>
      </c>
      <c r="BD57" s="414">
        <f>IF($D57="",0,VLOOKUP($D57,Trekkers!$A:$V,COLUMN(Trekkers!$H$5),FALSE))</f>
        <v>0</v>
      </c>
      <c r="BE57" s="414">
        <f>IF($D57="",0,VLOOKUP($D57,Trekkers!$A:$V,COLUMN(Trekkers!$I$5),FALSE)/$G$8*$E$8)</f>
        <v>0</v>
      </c>
      <c r="BF57" s="415">
        <f>SUM(BC57:BE57)</f>
        <v>0</v>
      </c>
      <c r="BG57" s="416">
        <f>BB57+BF57</f>
        <v>0</v>
      </c>
      <c r="BH57" s="417"/>
      <c r="BI57" s="418">
        <f t="shared" si="0"/>
        <v>0</v>
      </c>
      <c r="BJ57" s="414">
        <f>IF($I57=0,0,VLOOKUP($I57,'Implemente &amp; Waens'!$A:$Z,COLUMN('Implemente &amp; Waens'!M$5),FALSE))</f>
        <v>0</v>
      </c>
      <c r="BK57" s="414">
        <f>IF($I57=0,0,VLOOKUP($I57,'Implemente &amp; Waens'!$A:$Z,COLUMN('Implemente &amp; Waens'!N$5),FALSE))</f>
        <v>0</v>
      </c>
      <c r="BL57" s="415">
        <f>SUM(BJ57:BK57)</f>
        <v>0</v>
      </c>
      <c r="BM57" s="414">
        <f>IF($I57=0,0,VLOOKUP($I57,'Implemente &amp; Waens'!$A:$Z,COLUMN('Implemente &amp; Waens'!I$5),FALSE)*$E$9/100)</f>
        <v>0</v>
      </c>
      <c r="BN57" s="414">
        <f>IF($I57=0,0,VLOOKUP($I57,'Implemente &amp; Waens'!$A:$Z,COLUMN('Implemente &amp; Waens'!J$5),FALSE))</f>
        <v>0</v>
      </c>
      <c r="BO57" s="414">
        <f>IF($I57=0,0,VLOOKUP($I57,'Implemente &amp; Waens'!$A:$Z,COLUMN('Implemente &amp; Waens'!K$5),FALSE)/$G$8*$E$8)</f>
        <v>0</v>
      </c>
      <c r="BP57" s="415">
        <f>SUM(BM57:BO57)</f>
        <v>0</v>
      </c>
      <c r="BQ57" s="416">
        <f>SUM(BL57,BP57)</f>
        <v>0</v>
      </c>
    </row>
    <row r="58" spans="2:69">
      <c r="AL58" s="344" t="s">
        <v>220</v>
      </c>
      <c r="BJ58" s="344" t="s">
        <v>193</v>
      </c>
    </row>
    <row r="59" spans="2:69">
      <c r="BJ59" s="344"/>
    </row>
    <row r="60" spans="2:69" ht="18.75" thickBot="1">
      <c r="B60" s="359" t="s">
        <v>222</v>
      </c>
      <c r="C60" s="360"/>
      <c r="D60" s="360"/>
      <c r="E60" s="360"/>
      <c r="F60" s="360"/>
      <c r="G60" s="360"/>
      <c r="H60" s="360"/>
      <c r="I60" s="360"/>
      <c r="J60" s="360"/>
      <c r="X60" s="358"/>
      <c r="Y60" s="358"/>
      <c r="Z60" s="358"/>
      <c r="AA60" s="358"/>
      <c r="AL60" s="363" t="str">
        <f>B60</f>
        <v>SELF-AANGEDREWE MASJINERIE</v>
      </c>
      <c r="AW60" s="365" t="s">
        <v>194</v>
      </c>
      <c r="AX60" s="366"/>
      <c r="AY60" s="366"/>
      <c r="BI60" s="365" t="s">
        <v>198</v>
      </c>
      <c r="BJ60" s="366"/>
      <c r="BK60" s="366"/>
    </row>
    <row r="61" spans="2:69" ht="13.5" thickBot="1">
      <c r="B61" s="367"/>
      <c r="C61" s="368"/>
      <c r="D61" s="369"/>
      <c r="E61" s="369"/>
      <c r="F61" s="369"/>
      <c r="G61" s="369"/>
      <c r="H61" s="369"/>
      <c r="I61" s="369"/>
      <c r="J61" s="368"/>
      <c r="K61" s="369"/>
      <c r="L61" s="369"/>
      <c r="M61" s="369"/>
      <c r="N61" s="369"/>
      <c r="O61" s="369"/>
      <c r="P61" s="369"/>
      <c r="Q61" s="369"/>
      <c r="R61" s="369"/>
      <c r="S61" s="922"/>
      <c r="T61" s="369"/>
      <c r="U61" s="369"/>
      <c r="V61" s="922"/>
      <c r="X61" s="369"/>
      <c r="Y61" s="369"/>
      <c r="Z61" s="369"/>
      <c r="AA61" s="369"/>
      <c r="AB61" s="369"/>
      <c r="AC61" s="369"/>
      <c r="AD61" s="369"/>
      <c r="AE61" s="369"/>
      <c r="AF61" s="370"/>
      <c r="AG61" s="369"/>
      <c r="AH61" s="369"/>
      <c r="AL61" s="364" t="s">
        <v>221</v>
      </c>
      <c r="AW61" s="364" t="s">
        <v>943</v>
      </c>
      <c r="BI61" s="364" t="s">
        <v>943</v>
      </c>
    </row>
    <row r="62" spans="2:69" s="374" customFormat="1" ht="12.75" customHeight="1">
      <c r="B62" s="371"/>
      <c r="C62" s="372"/>
      <c r="D62" s="1040" t="s">
        <v>194</v>
      </c>
      <c r="E62" s="1041"/>
      <c r="F62" s="1041"/>
      <c r="G62" s="1041"/>
      <c r="H62" s="1043"/>
      <c r="I62" s="1040" t="s">
        <v>223</v>
      </c>
      <c r="J62" s="1043"/>
      <c r="K62" s="1041" t="s">
        <v>186</v>
      </c>
      <c r="L62" s="1041"/>
      <c r="M62" s="1041"/>
      <c r="N62" s="1041"/>
      <c r="O62" s="1044"/>
      <c r="P62" s="1041"/>
      <c r="Q62" s="1041"/>
      <c r="R62" s="1041"/>
      <c r="S62" s="1041"/>
      <c r="T62" s="1041"/>
      <c r="U62" s="1044"/>
      <c r="V62" s="457"/>
      <c r="W62" s="356"/>
      <c r="X62" s="1040" t="s">
        <v>487</v>
      </c>
      <c r="Y62" s="1041"/>
      <c r="Z62" s="1043"/>
      <c r="AA62" s="1045" t="s">
        <v>171</v>
      </c>
      <c r="AB62" s="1041"/>
      <c r="AC62" s="1044"/>
      <c r="AD62" s="1040" t="str">
        <f>AD$13</f>
        <v>R/UUR</v>
      </c>
      <c r="AE62" s="1041" t="str">
        <f>$AD$13</f>
        <v>R/UUR</v>
      </c>
      <c r="AF62" s="373"/>
      <c r="AG62" s="1040" t="str">
        <f>AG$13</f>
        <v>R/HA</v>
      </c>
      <c r="AH62" s="1043"/>
      <c r="AI62" s="356"/>
      <c r="AJ62" s="356"/>
      <c r="AK62" s="356"/>
      <c r="AL62" s="1042" t="str">
        <f>$AL$13</f>
        <v>VERANDERLIKE KOSTE</v>
      </c>
      <c r="AM62" s="1042"/>
      <c r="AN62" s="1042"/>
      <c r="AO62" s="1042"/>
      <c r="AP62" s="1042"/>
      <c r="AQ62" s="1042" t="str">
        <f>$AQ$13</f>
        <v>VASTE KOSTE</v>
      </c>
      <c r="AR62" s="1042"/>
      <c r="AS62" s="1042"/>
      <c r="AT62" s="1042"/>
      <c r="AU62" s="912" t="str">
        <f>$AU$13</f>
        <v>TOTAAL</v>
      </c>
      <c r="AW62" s="912"/>
      <c r="AX62" s="1042" t="str">
        <f>AX$13</f>
        <v>VERANDERLIKE KOSTE</v>
      </c>
      <c r="AY62" s="1042"/>
      <c r="AZ62" s="1042"/>
      <c r="BA62" s="1042"/>
      <c r="BB62" s="1042"/>
      <c r="BC62" s="1042" t="str">
        <f>BC$13</f>
        <v>VASTE KOSTE</v>
      </c>
      <c r="BD62" s="1042"/>
      <c r="BE62" s="1042"/>
      <c r="BF62" s="1042"/>
      <c r="BG62" s="912" t="str">
        <f>BG$13</f>
        <v>TOTAAL</v>
      </c>
      <c r="BI62" s="912"/>
      <c r="BJ62" s="1042" t="str">
        <f>$AX$13</f>
        <v>VERANDERLIKE KOSTE</v>
      </c>
      <c r="BK62" s="1042"/>
      <c r="BL62" s="1042"/>
      <c r="BM62" s="1042" t="str">
        <f>BC62</f>
        <v>VASTE KOSTE</v>
      </c>
      <c r="BN62" s="1042"/>
      <c r="BO62" s="1042"/>
      <c r="BP62" s="1042"/>
      <c r="BQ62" s="912" t="str">
        <f>BG62</f>
        <v>TOTAAL</v>
      </c>
    </row>
    <row r="63" spans="2:69" s="395" customFormat="1" ht="39" thickBot="1">
      <c r="B63" s="375" t="s">
        <v>83</v>
      </c>
      <c r="C63" s="376" t="s">
        <v>34</v>
      </c>
      <c r="D63" s="377" t="s">
        <v>196</v>
      </c>
      <c r="E63" s="378" t="s">
        <v>180</v>
      </c>
      <c r="F63" s="378" t="s">
        <v>195</v>
      </c>
      <c r="G63" s="378" t="s">
        <v>197</v>
      </c>
      <c r="H63" s="387"/>
      <c r="I63" s="377" t="s">
        <v>191</v>
      </c>
      <c r="J63" s="381" t="s">
        <v>192</v>
      </c>
      <c r="K63" s="382" t="s">
        <v>85</v>
      </c>
      <c r="L63" s="375" t="s">
        <v>548</v>
      </c>
      <c r="M63" s="375" t="s">
        <v>996</v>
      </c>
      <c r="N63" s="383" t="s">
        <v>86</v>
      </c>
      <c r="O63" s="384" t="s">
        <v>549</v>
      </c>
      <c r="P63" s="913" t="s">
        <v>1286</v>
      </c>
      <c r="Q63" s="914" t="s">
        <v>1283</v>
      </c>
      <c r="R63" s="914" t="s">
        <v>1284</v>
      </c>
      <c r="S63" s="921" t="s">
        <v>1285</v>
      </c>
      <c r="T63" s="916" t="s">
        <v>87</v>
      </c>
      <c r="U63" s="918" t="s">
        <v>181</v>
      </c>
      <c r="V63" s="921" t="s">
        <v>1287</v>
      </c>
      <c r="W63" s="356"/>
      <c r="X63" s="385" t="str">
        <f>X$14</f>
        <v>Veranderlik (R/Uur)</v>
      </c>
      <c r="Y63" s="386" t="str">
        <f>Y$14</f>
        <v>Vaste (R/Uur)</v>
      </c>
      <c r="Z63" s="378" t="str">
        <f>Z$14</f>
        <v>Totaal (R/Uur)</v>
      </c>
      <c r="AA63" s="385" t="str">
        <f>AA$14</f>
        <v>Veranderlik (R/Uur)</v>
      </c>
      <c r="AB63" s="386" t="str">
        <f>AB$14</f>
        <v>Vaste (R/Uur)</v>
      </c>
      <c r="AC63" s="387" t="s">
        <v>544</v>
      </c>
      <c r="AD63" s="388" t="str">
        <f>AD$14</f>
        <v>Koste (R/Uur) : Droog</v>
      </c>
      <c r="AE63" s="385" t="str">
        <f>AE$14</f>
        <v>Koste (R/Uur) : Totaal</v>
      </c>
      <c r="AF63" s="389" t="str">
        <f>AF$14</f>
        <v>Tydsduur (Hr/Ha)</v>
      </c>
      <c r="AG63" s="390" t="str">
        <f>AG$14</f>
        <v>Koste (R/Ha): Droog</v>
      </c>
      <c r="AH63" s="391" t="str">
        <f>AH$14</f>
        <v>Koste (R/Ha) : Totaal</v>
      </c>
      <c r="AI63" s="356"/>
      <c r="AJ63" s="375" t="s">
        <v>1104</v>
      </c>
      <c r="AK63" s="356"/>
      <c r="AL63" s="383" t="str">
        <f t="shared" ref="AL63:AU63" si="105">AL$14</f>
        <v>Brandstof gebruik (Lt/Ha)</v>
      </c>
      <c r="AM63" s="375" t="str">
        <f t="shared" si="105"/>
        <v>Brandstof koste (R/Ha)</v>
      </c>
      <c r="AN63" s="375" t="str">
        <f t="shared" si="105"/>
        <v>Herstel &amp; Ondrh. (R/Ha)</v>
      </c>
      <c r="AO63" s="375" t="str">
        <f t="shared" si="105"/>
        <v>Alle ander (R/Ha)</v>
      </c>
      <c r="AP63" s="392" t="str">
        <f t="shared" si="105"/>
        <v>Totaal Verandrlik (R/Ha)</v>
      </c>
      <c r="AQ63" s="375" t="str">
        <f t="shared" si="105"/>
        <v>Waarde- vermindr (R/Ha)</v>
      </c>
      <c r="AR63" s="375" t="str">
        <f t="shared" si="105"/>
        <v>Verseker &amp; lisensie (R/Ha)</v>
      </c>
      <c r="AS63" s="393" t="str">
        <f t="shared" si="105"/>
        <v>Rente 
(R/Ha)</v>
      </c>
      <c r="AT63" s="392" t="str">
        <f t="shared" si="105"/>
        <v>Totaal Vaste (R/Ha)</v>
      </c>
      <c r="AU63" s="394" t="str">
        <f t="shared" si="105"/>
        <v>Totale Koste (R/Ha)</v>
      </c>
      <c r="AW63" s="396" t="str">
        <f t="shared" ref="AW63:AW71" si="106">D63</f>
        <v>Masjien kode</v>
      </c>
      <c r="AX63" s="383" t="str">
        <f t="shared" ref="AX63:BG63" si="107">AX$14</f>
        <v>Brandstof gebruik (Lt/Uur)</v>
      </c>
      <c r="AY63" s="375" t="str">
        <f t="shared" si="107"/>
        <v>Brandstof koste (R/Uur)</v>
      </c>
      <c r="AZ63" s="375" t="str">
        <f t="shared" si="107"/>
        <v>Herstel &amp; Ondrh. (R/Uur)</v>
      </c>
      <c r="BA63" s="375" t="str">
        <f t="shared" si="107"/>
        <v>Alle ander (R/Uur)</v>
      </c>
      <c r="BB63" s="392" t="str">
        <f t="shared" si="107"/>
        <v>Totaal Verandrlik (R/Uur)</v>
      </c>
      <c r="BC63" s="375" t="str">
        <f t="shared" si="107"/>
        <v>Waarde- vermindr (R/Uur)</v>
      </c>
      <c r="BD63" s="375" t="str">
        <f t="shared" si="107"/>
        <v>Verseker &amp; lisensie (R/Uur)</v>
      </c>
      <c r="BE63" s="393" t="str">
        <f t="shared" si="107"/>
        <v>Rente 
(R/Uur)</v>
      </c>
      <c r="BF63" s="392" t="str">
        <f t="shared" si="107"/>
        <v>Totaal Vaste (R/Uur)</v>
      </c>
      <c r="BG63" s="394" t="str">
        <f t="shared" si="107"/>
        <v>Totale Koste (R/Uur)</v>
      </c>
      <c r="BI63" s="396" t="str">
        <f t="shared" ref="BI63:BI71" si="108">I63</f>
        <v>Tafel kode</v>
      </c>
      <c r="BJ63" s="375" t="s">
        <v>182</v>
      </c>
      <c r="BK63" s="375" t="s">
        <v>88</v>
      </c>
      <c r="BL63" s="392" t="s">
        <v>183</v>
      </c>
      <c r="BM63" s="375" t="s">
        <v>184</v>
      </c>
      <c r="BN63" s="375" t="s">
        <v>190</v>
      </c>
      <c r="BO63" s="375" t="s">
        <v>189</v>
      </c>
      <c r="BP63" s="392" t="s">
        <v>89</v>
      </c>
      <c r="BQ63" s="394" t="s">
        <v>90</v>
      </c>
    </row>
    <row r="64" spans="2:69">
      <c r="B64" s="397"/>
      <c r="C64" s="731" t="s">
        <v>1274</v>
      </c>
      <c r="D64" s="398">
        <f>'Self-Aangedrewe'!A84</f>
        <v>84</v>
      </c>
      <c r="E64" s="399">
        <f>IF($D64="",0,VLOOKUP($D64,'Self-Aangedrewe'!$A:$Z,COLUMN('Self-Aangedrewe'!C$5),FALSE))</f>
        <v>210</v>
      </c>
      <c r="F64" s="399">
        <f>IF($D64="",0,VLOOKUP($D64,'Self-Aangedrewe'!$A:$Z,COLUMN('Self-Aangedrewe'!D$5),FALSE))</f>
        <v>281.61463881495592</v>
      </c>
      <c r="G64" s="399">
        <f>IF($D64="",0,VLOOKUP($D64,'Self-Aangedrewe'!$A:$Z,COLUMN('Self-Aangedrewe'!F$5),FALSE))</f>
        <v>0</v>
      </c>
      <c r="H64" s="420" t="str">
        <f>IF($D64="",0,VLOOKUP($D64,'Self-Aangedrewe'!$A:$Z,COLUMN('Self-Aangedrewe'!E$5),FALSE))</f>
        <v>Stroper met Snytafel - 210kW / 282PK</v>
      </c>
      <c r="I64" s="421"/>
      <c r="J64" s="400" t="str">
        <f>IF($I64="",H64,VLOOKUP($I64,'Self-Aangedrewe'!$A:$Z,COLUMN('Self-Aangedrewe'!E$5),FALSE))</f>
        <v>Stroper met Snytafel - 210kW / 282PK</v>
      </c>
      <c r="K64" s="967">
        <v>7.62</v>
      </c>
      <c r="L64" s="729">
        <v>6.25</v>
      </c>
      <c r="M64" s="730">
        <v>0.8</v>
      </c>
      <c r="N64" s="402">
        <f t="shared" ref="N64:N71" si="109">IF(COUNT(K64:M64)=3,10000/((K64*(L64*1000))*M64),0)</f>
        <v>0.26246719160104987</v>
      </c>
      <c r="O64" s="403">
        <f>K64*L64*M64/10</f>
        <v>3.81</v>
      </c>
      <c r="P64" s="915">
        <f t="shared" ref="P64:P71" si="110">$AU64-$AM64-$AS64*100%-$AQ64*50%</f>
        <v>250.36745406824147</v>
      </c>
      <c r="Q64" s="915">
        <f t="shared" ref="Q64:Q71" si="111">$AU64-$AM64-$AS64*100%-$AQ64*0%</f>
        <v>365.52493438320209</v>
      </c>
      <c r="R64" s="915">
        <f t="shared" ref="R64:R71" si="112">$AU64-$AM64-$AS64*50%-$AQ64*0%</f>
        <v>464.04855643044618</v>
      </c>
      <c r="S64" s="923">
        <f t="shared" ref="S64:S71" si="113">$AU64-$AM64-$AS64*0%-$AQ64*0%</f>
        <v>562.57217847769027</v>
      </c>
      <c r="T64" s="917">
        <f>AL64</f>
        <v>9.9212598425196834</v>
      </c>
      <c r="U64" s="919">
        <f>AM64</f>
        <v>122.03149606299212</v>
      </c>
      <c r="V64" s="923">
        <f>S64+U64</f>
        <v>684.60367454068239</v>
      </c>
      <c r="X64" s="404">
        <f t="shared" ref="X64:X71" si="114">BB64</f>
        <v>854.94</v>
      </c>
      <c r="Y64" s="405">
        <f t="shared" ref="Y64:Z71" si="115">BF64</f>
        <v>1753.4</v>
      </c>
      <c r="Z64" s="406">
        <f t="shared" si="115"/>
        <v>2608.34</v>
      </c>
      <c r="AA64" s="404">
        <f t="shared" ref="AA64:AA71" si="116">BL64</f>
        <v>0</v>
      </c>
      <c r="AB64" s="405">
        <f t="shared" ref="AB64:AC71" si="117">BP64</f>
        <v>0</v>
      </c>
      <c r="AC64" s="407">
        <f t="shared" si="117"/>
        <v>0</v>
      </c>
      <c r="AD64" s="408">
        <f t="shared" ref="AD64:AD71" si="118">AE64-AY64</f>
        <v>2143.4</v>
      </c>
      <c r="AE64" s="409">
        <f>SUM(Z64,AC64)</f>
        <v>2608.34</v>
      </c>
      <c r="AF64" s="410">
        <f t="shared" ref="AF64:AF71" si="119">N64</f>
        <v>0.26246719160104987</v>
      </c>
      <c r="AG64" s="411">
        <f t="shared" ref="AG64:AG71" si="120">AH64-AM64</f>
        <v>562.57217847769027</v>
      </c>
      <c r="AH64" s="412">
        <f t="shared" ref="AH64:AH71" si="121">AU64</f>
        <v>684.60367454068239</v>
      </c>
      <c r="AJ64" s="765">
        <v>1</v>
      </c>
      <c r="AL64" s="413">
        <f t="shared" ref="AL64:AL71" si="122">AX64*$N64</f>
        <v>9.9212598425196834</v>
      </c>
      <c r="AM64" s="414">
        <f t="shared" ref="AM64:AM71" si="123">AL64*$E$7</f>
        <v>122.03149606299212</v>
      </c>
      <c r="AN64" s="414">
        <f t="shared" ref="AN64:AO71" si="124">SUM(AZ64,BJ64)*$N64</f>
        <v>102.36220472440945</v>
      </c>
      <c r="AO64" s="414">
        <f t="shared" si="124"/>
        <v>0</v>
      </c>
      <c r="AP64" s="415">
        <f t="shared" ref="AP64:AP71" si="125">SUM(AM64:AO64)</f>
        <v>224.39370078740157</v>
      </c>
      <c r="AQ64" s="414">
        <f t="shared" ref="AQ64:AS71" si="126">SUM(BC64,BM64)*$N64</f>
        <v>230.31496062992125</v>
      </c>
      <c r="AR64" s="422">
        <f t="shared" si="126"/>
        <v>32.84776902887139</v>
      </c>
      <c r="AS64" s="414">
        <f t="shared" si="126"/>
        <v>197.04724409448818</v>
      </c>
      <c r="AT64" s="415">
        <f t="shared" ref="AT64:AT71" si="127">SUM(AQ64:AS64)</f>
        <v>460.20997375328079</v>
      </c>
      <c r="AU64" s="416">
        <f t="shared" ref="AU64:AU71" si="128">AP64+AT64</f>
        <v>684.60367454068239</v>
      </c>
      <c r="AV64" s="417"/>
      <c r="AW64" s="418">
        <f t="shared" si="106"/>
        <v>84</v>
      </c>
      <c r="AX64" s="413">
        <f>IF($D64="",0,E64*'Self-Aangedrewe'!$K$268*AJ64)</f>
        <v>37.799999999999997</v>
      </c>
      <c r="AY64" s="414">
        <f>AX64*$E$7</f>
        <v>464.94</v>
      </c>
      <c r="AZ64" s="414">
        <f>IF($D64="",0,VLOOKUP($D64,'Self-Aangedrewe'!$A:$Z,COLUMN('Self-Aangedrewe'!P$5),FALSE))</f>
        <v>390</v>
      </c>
      <c r="BA64" s="414">
        <f>0</f>
        <v>0</v>
      </c>
      <c r="BB64" s="415">
        <f t="shared" ref="BB64:BB71" si="129">SUM(AY64:BA64)</f>
        <v>854.94</v>
      </c>
      <c r="BC64" s="414">
        <f>IF($D64="",0,VLOOKUP($D64,'Self-Aangedrewe'!$A:$Z,COLUMN('Self-Aangedrewe'!K$5),FALSE)*$E$9/100)</f>
        <v>877.5</v>
      </c>
      <c r="BD64" s="414">
        <f>IF($D64="",0,VLOOKUP($D64,'Self-Aangedrewe'!$A:$Z,COLUMN('Self-Aangedrewe'!L$5),FALSE))</f>
        <v>125.15</v>
      </c>
      <c r="BE64" s="414">
        <f>IF($D64="",0,VLOOKUP($D64,'Self-Aangedrewe'!$A:$Z,COLUMN('Self-Aangedrewe'!M$5),FALSE)/$G$8*$E$8)</f>
        <v>750.75</v>
      </c>
      <c r="BF64" s="415">
        <f t="shared" ref="BF64:BF71" si="130">SUM(BC64:BE64)</f>
        <v>1753.4</v>
      </c>
      <c r="BG64" s="416">
        <f t="shared" ref="BG64:BG71" si="131">BB64+BF64</f>
        <v>2608.34</v>
      </c>
      <c r="BH64" s="417"/>
      <c r="BI64" s="418">
        <f t="shared" si="108"/>
        <v>0</v>
      </c>
      <c r="BJ64" s="414">
        <f>IF($I64="",0,VLOOKUP($I64,'Self-Aangedrewe'!$A:$Z,COLUMN('Self-Aangedrewe'!J$5),FALSE))</f>
        <v>0</v>
      </c>
      <c r="BK64" s="414">
        <f>0</f>
        <v>0</v>
      </c>
      <c r="BL64" s="415">
        <f t="shared" ref="BL64:BL71" si="132">SUM(BJ64:BK64)</f>
        <v>0</v>
      </c>
      <c r="BM64" s="414">
        <f>IF($I64="",0,VLOOKUP($I64,'Self-Aangedrewe'!$A:$Z,COLUMN('Self-Aangedrewe'!K$5),FALSE)*$E$9/100)</f>
        <v>0</v>
      </c>
      <c r="BN64" s="414">
        <f>IF($I64="",0,VLOOKUP($I64,'Self-Aangedrewe'!$A:$Z,COLUMN('Self-Aangedrewe'!L$5),FALSE))</f>
        <v>0</v>
      </c>
      <c r="BO64" s="414">
        <f>IF($I64="",0,VLOOKUP($I64,'Self-Aangedrewe'!$A:$Z,COLUMN('Self-Aangedrewe'!M$5),FALSE)/$G$8*$E$8)</f>
        <v>0</v>
      </c>
      <c r="BP64" s="415">
        <f t="shared" ref="BP64:BP71" si="133">SUM(BM64:BO64)</f>
        <v>0</v>
      </c>
      <c r="BQ64" s="416">
        <f t="shared" ref="BQ64:BQ71" si="134">SUM(BL64,BP64)</f>
        <v>0</v>
      </c>
    </row>
    <row r="65" spans="2:69">
      <c r="B65" s="397"/>
      <c r="C65" s="731" t="s">
        <v>1275</v>
      </c>
      <c r="D65" s="398">
        <f>'Self-Aangedrewe'!A44</f>
        <v>44</v>
      </c>
      <c r="E65" s="399">
        <f>IF($D65="",0,VLOOKUP($D65,'Self-Aangedrewe'!$A:$Z,COLUMN('Self-Aangedrewe'!C$5),FALSE))</f>
        <v>210</v>
      </c>
      <c r="F65" s="399">
        <f>IF($D65="",0,VLOOKUP($D65,'Self-Aangedrewe'!$A:$Z,COLUMN('Self-Aangedrewe'!D$5),FALSE))</f>
        <v>281.61463881495592</v>
      </c>
      <c r="G65" s="399">
        <f>IF($D65="",0,VLOOKUP($D65,'Self-Aangedrewe'!$A:$Z,COLUMN('Self-Aangedrewe'!F$5),FALSE))</f>
        <v>0</v>
      </c>
      <c r="H65" s="420" t="str">
        <f>IF($D65="",0,VLOOKUP($D65,'Self-Aangedrewe'!$A:$Z,COLUMN('Self-Aangedrewe'!E$5),FALSE))</f>
        <v>Stroper met Opteller - 210kW / 282PK</v>
      </c>
      <c r="I65" s="421"/>
      <c r="J65" s="400" t="str">
        <f>IF($I65="",H65,VLOOKUP($I65,'Self-Aangedrewe'!$A:$Z,COLUMN('Self-Aangedrewe'!E$5),FALSE))</f>
        <v>Stroper met Opteller - 210kW / 282PK</v>
      </c>
      <c r="K65" s="967">
        <v>9.14</v>
      </c>
      <c r="L65" s="729">
        <v>6</v>
      </c>
      <c r="M65" s="730">
        <v>0.8</v>
      </c>
      <c r="N65" s="402">
        <f t="shared" si="109"/>
        <v>0.22793581327498177</v>
      </c>
      <c r="O65" s="403">
        <f t="shared" ref="O65:O71" si="135">K65*L65*M65/10</f>
        <v>4.3872000000000009</v>
      </c>
      <c r="P65" s="915">
        <f t="shared" si="110"/>
        <v>204.60088439095551</v>
      </c>
      <c r="Q65" s="915">
        <f t="shared" si="111"/>
        <v>298.70988329686361</v>
      </c>
      <c r="R65" s="915">
        <f t="shared" si="112"/>
        <v>379.22820933625093</v>
      </c>
      <c r="S65" s="923">
        <f t="shared" si="113"/>
        <v>459.74653537563825</v>
      </c>
      <c r="T65" s="917">
        <f t="shared" ref="T65:T67" si="136">AL65</f>
        <v>8.6159737417943099</v>
      </c>
      <c r="U65" s="919">
        <f t="shared" ref="U65:U67" si="137">AM65</f>
        <v>105.97647702407002</v>
      </c>
      <c r="V65" s="923">
        <f t="shared" ref="V65:V71" si="138">S65+U65</f>
        <v>565.7230123997083</v>
      </c>
      <c r="X65" s="404">
        <f t="shared" si="114"/>
        <v>831.94</v>
      </c>
      <c r="Y65" s="405">
        <f t="shared" si="115"/>
        <v>1650</v>
      </c>
      <c r="Z65" s="419">
        <f t="shared" si="115"/>
        <v>2481.94</v>
      </c>
      <c r="AA65" s="404">
        <f t="shared" si="116"/>
        <v>0</v>
      </c>
      <c r="AB65" s="405">
        <f t="shared" si="117"/>
        <v>0</v>
      </c>
      <c r="AC65" s="407">
        <f t="shared" si="117"/>
        <v>0</v>
      </c>
      <c r="AD65" s="408">
        <f t="shared" si="118"/>
        <v>2017</v>
      </c>
      <c r="AE65" s="409">
        <f>SUM(Z65,AC65)</f>
        <v>2481.94</v>
      </c>
      <c r="AF65" s="410">
        <f t="shared" si="119"/>
        <v>0.22793581327498177</v>
      </c>
      <c r="AG65" s="411">
        <f t="shared" si="120"/>
        <v>459.74653537563825</v>
      </c>
      <c r="AH65" s="412">
        <f t="shared" si="121"/>
        <v>565.7230123997083</v>
      </c>
      <c r="AJ65" s="765">
        <v>1</v>
      </c>
      <c r="AL65" s="413">
        <f t="shared" si="122"/>
        <v>8.6159737417943099</v>
      </c>
      <c r="AM65" s="414">
        <f t="shared" si="123"/>
        <v>105.97647702407002</v>
      </c>
      <c r="AN65" s="414">
        <f t="shared" si="124"/>
        <v>83.652443471918318</v>
      </c>
      <c r="AO65" s="414">
        <f t="shared" si="124"/>
        <v>0</v>
      </c>
      <c r="AP65" s="415">
        <f t="shared" si="125"/>
        <v>189.62892049598833</v>
      </c>
      <c r="AQ65" s="414">
        <f t="shared" si="126"/>
        <v>188.21799781181619</v>
      </c>
      <c r="AR65" s="422">
        <f t="shared" si="126"/>
        <v>26.839442013129105</v>
      </c>
      <c r="AS65" s="414">
        <f t="shared" si="126"/>
        <v>161.03665207877464</v>
      </c>
      <c r="AT65" s="415">
        <f t="shared" si="127"/>
        <v>376.09409190371991</v>
      </c>
      <c r="AU65" s="416">
        <f t="shared" si="128"/>
        <v>565.7230123997083</v>
      </c>
      <c r="AV65" s="417"/>
      <c r="AW65" s="418">
        <f t="shared" si="106"/>
        <v>44</v>
      </c>
      <c r="AX65" s="413">
        <f>IF($D65="",0,E65*'Self-Aangedrewe'!$K$268*AJ65)</f>
        <v>37.799999999999997</v>
      </c>
      <c r="AY65" s="414">
        <f t="shared" ref="AY65:AY71" si="139">AX65*$E$7</f>
        <v>464.94</v>
      </c>
      <c r="AZ65" s="414">
        <f>IF($D65="",0,VLOOKUP($D65,'Self-Aangedrewe'!$A:$Z,COLUMN('Self-Aangedrewe'!P$5),FALSE))</f>
        <v>367</v>
      </c>
      <c r="BA65" s="414">
        <f>0</f>
        <v>0</v>
      </c>
      <c r="BB65" s="415">
        <f t="shared" si="129"/>
        <v>831.94</v>
      </c>
      <c r="BC65" s="414">
        <f>IF($D65="",0,VLOOKUP($D65,'Self-Aangedrewe'!$A:$Z,COLUMN('Self-Aangedrewe'!K$5),FALSE)*$E$9/100)</f>
        <v>825.75</v>
      </c>
      <c r="BD65" s="414">
        <f>IF($D65="",0,VLOOKUP($D65,'Self-Aangedrewe'!$A:$Z,COLUMN('Self-Aangedrewe'!L$5),FALSE))</f>
        <v>117.75</v>
      </c>
      <c r="BE65" s="414">
        <f>IF($D65="",0,VLOOKUP($D65,'Self-Aangedrewe'!$A:$Z,COLUMN('Self-Aangedrewe'!M$5),FALSE)/$G$8*$E$8)</f>
        <v>706.50000000000011</v>
      </c>
      <c r="BF65" s="415">
        <f t="shared" si="130"/>
        <v>1650</v>
      </c>
      <c r="BG65" s="416">
        <f t="shared" si="131"/>
        <v>2481.94</v>
      </c>
      <c r="BH65" s="417"/>
      <c r="BI65" s="418">
        <f t="shared" si="108"/>
        <v>0</v>
      </c>
      <c r="BJ65" s="414">
        <f>IF($I65="",0,VLOOKUP($I65,'Self-Aangedrewe'!$A:$Z,COLUMN('Self-Aangedrewe'!J$5),FALSE))</f>
        <v>0</v>
      </c>
      <c r="BK65" s="414">
        <f>0</f>
        <v>0</v>
      </c>
      <c r="BL65" s="415">
        <f t="shared" si="132"/>
        <v>0</v>
      </c>
      <c r="BM65" s="414">
        <f>IF($I65="",0,VLOOKUP($I65,'Self-Aangedrewe'!$A:$Z,COLUMN('Self-Aangedrewe'!K$5),FALSE)*$E$9/100)</f>
        <v>0</v>
      </c>
      <c r="BN65" s="414">
        <f>IF($I65="",0,VLOOKUP($I65,'Self-Aangedrewe'!$A:$Z,COLUMN('Self-Aangedrewe'!L$5),FALSE))</f>
        <v>0</v>
      </c>
      <c r="BO65" s="414">
        <f>IF($I65="",0,VLOOKUP($I65,'Self-Aangedrewe'!$A:$Z,COLUMN('Self-Aangedrewe'!M$5),FALSE)/$G$8*$E$8)</f>
        <v>0</v>
      </c>
      <c r="BP65" s="415">
        <f t="shared" si="133"/>
        <v>0</v>
      </c>
      <c r="BQ65" s="416">
        <f t="shared" si="134"/>
        <v>0</v>
      </c>
    </row>
    <row r="66" spans="2:69">
      <c r="B66" s="397"/>
      <c r="C66" s="731" t="s">
        <v>1276</v>
      </c>
      <c r="D66" s="398">
        <f>'Self-Aangedrewe'!A167</f>
        <v>167</v>
      </c>
      <c r="E66" s="399">
        <f>IF($D66="",0,VLOOKUP($D66,'Self-Aangedrewe'!$A:$Z,COLUMN('Self-Aangedrewe'!C$5),FALSE))</f>
        <v>110</v>
      </c>
      <c r="F66" s="399">
        <f>IF($D66="",0,VLOOKUP($D66,'Self-Aangedrewe'!$A:$Z,COLUMN('Self-Aangedrewe'!D$5),FALSE))</f>
        <v>147.51242985545309</v>
      </c>
      <c r="G66" s="399" t="str">
        <f>IF($D66="",0,VLOOKUP($D66,'Self-Aangedrewe'!$A:$Z,COLUMN('Self-Aangedrewe'!F$5),FALSE))</f>
        <v>sonder</v>
      </c>
      <c r="H66" s="420" t="str">
        <f>IF($D66="",0,VLOOKUP($D66,'Self-Aangedrewe'!$A:$Z,COLUMN('Self-Aangedrewe'!E$5),FALSE))</f>
        <v>SL Platsnyer sonder tafel 110kW / 148PK</v>
      </c>
      <c r="I66" s="421">
        <f>'Self-Aangedrewe'!A$179</f>
        <v>179</v>
      </c>
      <c r="J66" s="400" t="str">
        <f>IF($I66="",H66,VLOOKUP($I66,'Self-Aangedrewe'!$A:$Z,COLUMN('Self-Aangedrewe'!E$5),FALSE))</f>
        <v>Platsny tafel - 40 vt tafel - 12.19m</v>
      </c>
      <c r="K66" s="967">
        <v>9.14</v>
      </c>
      <c r="L66" s="729">
        <v>10</v>
      </c>
      <c r="M66" s="730">
        <v>0.8</v>
      </c>
      <c r="N66" s="402">
        <f t="shared" si="109"/>
        <v>0.13676148796498905</v>
      </c>
      <c r="O66" s="403">
        <f t="shared" si="135"/>
        <v>7.3120000000000003</v>
      </c>
      <c r="P66" s="915">
        <f t="shared" si="110"/>
        <v>92.245623632385104</v>
      </c>
      <c r="Q66" s="915">
        <f t="shared" si="111"/>
        <v>128.00191466083149</v>
      </c>
      <c r="R66" s="915">
        <f t="shared" si="112"/>
        <v>172.40836980306344</v>
      </c>
      <c r="S66" s="923">
        <f t="shared" si="113"/>
        <v>216.81482494529538</v>
      </c>
      <c r="T66" s="917">
        <f t="shared" si="136"/>
        <v>2.7078774617067833</v>
      </c>
      <c r="U66" s="919">
        <f t="shared" si="137"/>
        <v>33.306892778993436</v>
      </c>
      <c r="V66" s="923">
        <f t="shared" si="138"/>
        <v>250.12171772428883</v>
      </c>
      <c r="X66" s="404">
        <f t="shared" si="114"/>
        <v>468.34000000000003</v>
      </c>
      <c r="Y66" s="405">
        <f t="shared" si="115"/>
        <v>631.54999999999995</v>
      </c>
      <c r="Z66" s="406">
        <f t="shared" si="115"/>
        <v>1099.8899999999999</v>
      </c>
      <c r="AA66" s="404">
        <f t="shared" si="116"/>
        <v>80</v>
      </c>
      <c r="AB66" s="405">
        <f t="shared" si="117"/>
        <v>649</v>
      </c>
      <c r="AC66" s="407">
        <f t="shared" si="117"/>
        <v>729</v>
      </c>
      <c r="AD66" s="408">
        <f t="shared" si="118"/>
        <v>1585.35</v>
      </c>
      <c r="AE66" s="409">
        <f>SUM(Z66,AC66)</f>
        <v>1828.8899999999999</v>
      </c>
      <c r="AF66" s="410">
        <f t="shared" si="119"/>
        <v>0.13676148796498905</v>
      </c>
      <c r="AG66" s="411">
        <f t="shared" si="120"/>
        <v>216.81482494529538</v>
      </c>
      <c r="AH66" s="412">
        <f t="shared" si="121"/>
        <v>250.12171772428883</v>
      </c>
      <c r="AJ66" s="765">
        <v>1</v>
      </c>
      <c r="AL66" s="413">
        <f t="shared" si="122"/>
        <v>2.7078774617067833</v>
      </c>
      <c r="AM66" s="414">
        <f t="shared" si="123"/>
        <v>33.306892778993436</v>
      </c>
      <c r="AN66" s="414">
        <f t="shared" si="124"/>
        <v>41.684901531728663</v>
      </c>
      <c r="AO66" s="414">
        <f t="shared" si="124"/>
        <v>0</v>
      </c>
      <c r="AP66" s="415">
        <f t="shared" si="125"/>
        <v>74.991794310722099</v>
      </c>
      <c r="AQ66" s="414">
        <f t="shared" si="126"/>
        <v>71.512582056892768</v>
      </c>
      <c r="AR66" s="422">
        <f t="shared" si="126"/>
        <v>14.804431072210065</v>
      </c>
      <c r="AS66" s="414">
        <f t="shared" si="126"/>
        <v>88.812910284463896</v>
      </c>
      <c r="AT66" s="415">
        <f t="shared" si="127"/>
        <v>175.12992341356673</v>
      </c>
      <c r="AU66" s="416">
        <f t="shared" si="128"/>
        <v>250.12171772428883</v>
      </c>
      <c r="AV66" s="417"/>
      <c r="AW66" s="418">
        <f t="shared" si="106"/>
        <v>167</v>
      </c>
      <c r="AX66" s="413">
        <f>IF($D66="",0,E66*'Self-Aangedrewe'!$K$268*AJ66)</f>
        <v>19.8</v>
      </c>
      <c r="AY66" s="414">
        <f t="shared" si="139"/>
        <v>243.54000000000002</v>
      </c>
      <c r="AZ66" s="414">
        <f>IF($D66="",0,VLOOKUP($D66,'Self-Aangedrewe'!$A:$Z,COLUMN('Self-Aangedrewe'!P$5),FALSE))</f>
        <v>224.8</v>
      </c>
      <c r="BA66" s="414">
        <f>0</f>
        <v>0</v>
      </c>
      <c r="BB66" s="415">
        <f t="shared" si="129"/>
        <v>468.34000000000003</v>
      </c>
      <c r="BC66" s="414">
        <f>IF($D66="",0,VLOOKUP($D66,'Self-Aangedrewe'!$A:$Z,COLUMN('Self-Aangedrewe'!K$5),FALSE)*$E$9/100)</f>
        <v>252.9</v>
      </c>
      <c r="BD66" s="414">
        <f>IF($D66="",0,VLOOKUP($D66,'Self-Aangedrewe'!$A:$Z,COLUMN('Self-Aangedrewe'!L$5),FALSE))</f>
        <v>54.1</v>
      </c>
      <c r="BE66" s="414">
        <f>IF($D66="",0,VLOOKUP($D66,'Self-Aangedrewe'!$A:$Z,COLUMN('Self-Aangedrewe'!M$5),FALSE)/$G$8*$E$8)</f>
        <v>324.55</v>
      </c>
      <c r="BF66" s="415">
        <f t="shared" si="130"/>
        <v>631.54999999999995</v>
      </c>
      <c r="BG66" s="416">
        <f t="shared" si="131"/>
        <v>1099.8899999999999</v>
      </c>
      <c r="BH66" s="417"/>
      <c r="BI66" s="418">
        <f t="shared" si="108"/>
        <v>179</v>
      </c>
      <c r="BJ66" s="414">
        <f>IF($I66="",0,VLOOKUP($I66,'Self-Aangedrewe'!$A:$Z,COLUMN('Self-Aangedrewe'!J$5),FALSE))</f>
        <v>80</v>
      </c>
      <c r="BK66" s="414">
        <f>0</f>
        <v>0</v>
      </c>
      <c r="BL66" s="415">
        <f t="shared" si="132"/>
        <v>80</v>
      </c>
      <c r="BM66" s="414">
        <f>IF($I66="",0,VLOOKUP($I66,'Self-Aangedrewe'!$A:$Z,COLUMN('Self-Aangedrewe'!K$5),FALSE)*$E$9/100)</f>
        <v>270</v>
      </c>
      <c r="BN66" s="414">
        <f>IF($I66="",0,VLOOKUP($I66,'Self-Aangedrewe'!$A:$Z,COLUMN('Self-Aangedrewe'!L$5),FALSE))</f>
        <v>54.150000000000006</v>
      </c>
      <c r="BO66" s="414">
        <f>IF($I66="",0,VLOOKUP($I66,'Self-Aangedrewe'!$A:$Z,COLUMN('Self-Aangedrewe'!M$5),FALSE)/$G$8*$E$8)</f>
        <v>324.85000000000002</v>
      </c>
      <c r="BP66" s="415">
        <f t="shared" si="133"/>
        <v>649</v>
      </c>
      <c r="BQ66" s="416">
        <f t="shared" si="134"/>
        <v>729</v>
      </c>
    </row>
    <row r="67" spans="2:69">
      <c r="B67" s="397"/>
      <c r="C67" s="731" t="s">
        <v>1277</v>
      </c>
      <c r="D67" s="398">
        <f>'Self-Aangedrewe'!A167</f>
        <v>167</v>
      </c>
      <c r="E67" s="399">
        <f>IF($D67="",0,VLOOKUP($D67,'Self-Aangedrewe'!$A:$Z,COLUMN('Self-Aangedrewe'!C$5),FALSE))</f>
        <v>110</v>
      </c>
      <c r="F67" s="399">
        <f>IF($D67="",0,VLOOKUP($D67,'Self-Aangedrewe'!$A:$Z,COLUMN('Self-Aangedrewe'!D$5),FALSE))</f>
        <v>147.51242985545309</v>
      </c>
      <c r="G67" s="399" t="str">
        <f>IF($D67="",0,VLOOKUP($D67,'Self-Aangedrewe'!$A:$Z,COLUMN('Self-Aangedrewe'!F$5),FALSE))</f>
        <v>sonder</v>
      </c>
      <c r="H67" s="420" t="str">
        <f>IF($D67="",0,VLOOKUP($D67,'Self-Aangedrewe'!$A:$Z,COLUMN('Self-Aangedrewe'!E$5),FALSE))</f>
        <v>SL Platsnyer sonder tafel 110kW / 148PK</v>
      </c>
      <c r="I67" s="421">
        <f>'Self-Aangedrewe'!A$176</f>
        <v>176</v>
      </c>
      <c r="J67" s="400" t="str">
        <f>IF($I67="",H67,VLOOKUP($I67,'Self-Aangedrewe'!$A:$Z,COLUMN('Self-Aangedrewe'!E$5),FALSE))</f>
        <v>Platsny tafel - 25 vt tafel - 7.62m</v>
      </c>
      <c r="K67" s="967">
        <v>4.88</v>
      </c>
      <c r="L67" s="729">
        <v>10</v>
      </c>
      <c r="M67" s="730">
        <v>0.8</v>
      </c>
      <c r="N67" s="402">
        <f>IF(COUNT(K67:M67)=3,10000/((K67*(L67*1000))*M67),0)</f>
        <v>0.25614754098360654</v>
      </c>
      <c r="O67" s="403">
        <f>K67*L67*M67/10</f>
        <v>3.9039999999999999</v>
      </c>
      <c r="P67" s="915">
        <f t="shared" si="110"/>
        <v>162.65368852459022</v>
      </c>
      <c r="Q67" s="915">
        <f t="shared" si="111"/>
        <v>222.40010245901644</v>
      </c>
      <c r="R67" s="915">
        <f t="shared" si="112"/>
        <v>296.88140368852464</v>
      </c>
      <c r="S67" s="923">
        <f t="shared" si="113"/>
        <v>371.36270491803282</v>
      </c>
      <c r="T67" s="917">
        <f t="shared" si="136"/>
        <v>5.0717213114754092</v>
      </c>
      <c r="U67" s="919">
        <f t="shared" si="137"/>
        <v>62.382172131147534</v>
      </c>
      <c r="V67" s="923">
        <f t="shared" si="138"/>
        <v>433.74487704918033</v>
      </c>
      <c r="X67" s="404">
        <f>BB67</f>
        <v>468.34000000000003</v>
      </c>
      <c r="Y67" s="405">
        <f t="shared" si="115"/>
        <v>631.54999999999995</v>
      </c>
      <c r="Z67" s="406">
        <f t="shared" si="115"/>
        <v>1099.8899999999999</v>
      </c>
      <c r="AA67" s="404">
        <f t="shared" si="116"/>
        <v>80</v>
      </c>
      <c r="AB67" s="405">
        <f t="shared" si="117"/>
        <v>513.45000000000005</v>
      </c>
      <c r="AC67" s="407">
        <f t="shared" si="117"/>
        <v>593.45000000000005</v>
      </c>
      <c r="AD67" s="408">
        <f t="shared" si="118"/>
        <v>1449.8</v>
      </c>
      <c r="AE67" s="409">
        <f t="shared" ref="AE67:AE71" si="140">SUM(Z67,AC67)</f>
        <v>1693.34</v>
      </c>
      <c r="AF67" s="410">
        <f t="shared" si="119"/>
        <v>0.25614754098360654</v>
      </c>
      <c r="AG67" s="411">
        <f t="shared" si="120"/>
        <v>371.36270491803282</v>
      </c>
      <c r="AH67" s="412">
        <f t="shared" si="121"/>
        <v>433.74487704918033</v>
      </c>
      <c r="AJ67" s="765">
        <v>1</v>
      </c>
      <c r="AL67" s="413">
        <f>AX67*$N67</f>
        <v>5.0717213114754092</v>
      </c>
      <c r="AM67" s="414">
        <f t="shared" si="123"/>
        <v>62.382172131147534</v>
      </c>
      <c r="AN67" s="414">
        <f t="shared" si="124"/>
        <v>78.073770491803273</v>
      </c>
      <c r="AO67" s="414">
        <f t="shared" si="124"/>
        <v>0</v>
      </c>
      <c r="AP67" s="415">
        <f>SUM(AM67:AO67)</f>
        <v>140.4559426229508</v>
      </c>
      <c r="AQ67" s="414">
        <f t="shared" si="126"/>
        <v>119.49282786885244</v>
      </c>
      <c r="AR67" s="422">
        <f t="shared" si="126"/>
        <v>24.833504098360656</v>
      </c>
      <c r="AS67" s="414">
        <f t="shared" si="126"/>
        <v>148.96260245901638</v>
      </c>
      <c r="AT67" s="415">
        <f>SUM(AQ67:AS67)</f>
        <v>293.2889344262295</v>
      </c>
      <c r="AU67" s="416">
        <f>AP67+AT67</f>
        <v>433.74487704918033</v>
      </c>
      <c r="AV67" s="417"/>
      <c r="AW67" s="418">
        <f t="shared" si="106"/>
        <v>167</v>
      </c>
      <c r="AX67" s="413">
        <f>IF($D67="",0,E67*'Self-Aangedrewe'!$K$268*AJ67)</f>
        <v>19.8</v>
      </c>
      <c r="AY67" s="414">
        <f>AX67*$E$7</f>
        <v>243.54000000000002</v>
      </c>
      <c r="AZ67" s="414">
        <f>IF($D67="",0,VLOOKUP($D67,'Self-Aangedrewe'!$A:$Z,COLUMN('Self-Aangedrewe'!P$5),FALSE))</f>
        <v>224.8</v>
      </c>
      <c r="BA67" s="414">
        <f>0</f>
        <v>0</v>
      </c>
      <c r="BB67" s="415">
        <f>SUM(AY67:BA67)</f>
        <v>468.34000000000003</v>
      </c>
      <c r="BC67" s="414">
        <f>IF($D67="",0,VLOOKUP($D67,'Self-Aangedrewe'!$A:$Z,COLUMN('Self-Aangedrewe'!K$5),FALSE)*$E$9/100)</f>
        <v>252.9</v>
      </c>
      <c r="BD67" s="414">
        <f>IF($D67="",0,VLOOKUP($D67,'Self-Aangedrewe'!$A:$Z,COLUMN('Self-Aangedrewe'!L$5),FALSE))</f>
        <v>54.1</v>
      </c>
      <c r="BE67" s="414">
        <f>IF($D67="",0,VLOOKUP($D67,'Self-Aangedrewe'!$A:$Z,COLUMN('Self-Aangedrewe'!M$5),FALSE)/$G$8*$E$8)</f>
        <v>324.55</v>
      </c>
      <c r="BF67" s="415">
        <f>SUM(BC67:BE67)</f>
        <v>631.54999999999995</v>
      </c>
      <c r="BG67" s="416">
        <f>BB67+BF67</f>
        <v>1099.8899999999999</v>
      </c>
      <c r="BH67" s="417"/>
      <c r="BI67" s="418">
        <f t="shared" si="108"/>
        <v>176</v>
      </c>
      <c r="BJ67" s="414">
        <f>IF($I67="",0,VLOOKUP($I67,'Self-Aangedrewe'!$A:$Z,COLUMN('Self-Aangedrewe'!J$5),FALSE))</f>
        <v>80</v>
      </c>
      <c r="BK67" s="414">
        <f>0</f>
        <v>0</v>
      </c>
      <c r="BL67" s="415">
        <f>SUM(BJ67:BK67)</f>
        <v>80</v>
      </c>
      <c r="BM67" s="414">
        <f>IF($I67="",0,VLOOKUP($I67,'Self-Aangedrewe'!$A:$Z,COLUMN('Self-Aangedrewe'!K$5),FALSE)*$E$9/100)</f>
        <v>213.60000000000002</v>
      </c>
      <c r="BN67" s="414">
        <f>IF($I67="",0,VLOOKUP($I67,'Self-Aangedrewe'!$A:$Z,COLUMN('Self-Aangedrewe'!L$5),FALSE))</f>
        <v>42.85</v>
      </c>
      <c r="BO67" s="414">
        <f>IF($I67="",0,VLOOKUP($I67,'Self-Aangedrewe'!$A:$Z,COLUMN('Self-Aangedrewe'!M$5),FALSE)/$G$8*$E$8)</f>
        <v>257</v>
      </c>
      <c r="BP67" s="415">
        <f>SUM(BM67:BO67)</f>
        <v>513.45000000000005</v>
      </c>
      <c r="BQ67" s="416">
        <f>SUM(BL67,BP67)</f>
        <v>593.45000000000005</v>
      </c>
    </row>
    <row r="68" spans="2:69">
      <c r="B68" s="397"/>
      <c r="C68" s="731" t="s">
        <v>1278</v>
      </c>
      <c r="D68" s="398">
        <f>'Self-Aangedrewe'!A217</f>
        <v>217</v>
      </c>
      <c r="E68" s="399">
        <f>IF($D68="",0,VLOOKUP($D68,'Self-Aangedrewe'!$A:$Z,COLUMN('Self-Aangedrewe'!C$5),FALSE))</f>
        <v>150</v>
      </c>
      <c r="F68" s="399">
        <f>IF($D68="",0,VLOOKUP($D68,'Self-Aangedrewe'!$A:$Z,COLUMN('Self-Aangedrewe'!D$5),FALSE))</f>
        <v>201.15331343925422</v>
      </c>
      <c r="G68" s="399">
        <f>IF($D68="",0,VLOOKUP($D68,'Self-Aangedrewe'!$A:$Z,COLUMN('Self-Aangedrewe'!F$5),FALSE))</f>
        <v>30</v>
      </c>
      <c r="H68" s="420" t="str">
        <f>IF($D68="",0,VLOOKUP($D68,'Self-Aangedrewe'!$A:$Z,COLUMN('Self-Aangedrewe'!E$5),FALSE))</f>
        <v>SL Spuit 150kW / 201PK + 30m balk</v>
      </c>
      <c r="I68" s="421"/>
      <c r="J68" s="400" t="str">
        <f>IF($I68="",H68,VLOOKUP($I68,'Self-Aangedrewe'!$A:$Z,COLUMN('Self-Aangedrewe'!E$5),FALSE))</f>
        <v>SL Spuit 150kW / 201PK + 30m balk</v>
      </c>
      <c r="K68" s="967">
        <v>30</v>
      </c>
      <c r="L68" s="729">
        <v>12.5</v>
      </c>
      <c r="M68" s="730">
        <v>0.7</v>
      </c>
      <c r="N68" s="402">
        <f>IF(COUNT(K68:M68)=3,10000/((K68*(L68*1000))*M68),0)</f>
        <v>3.8095238095238099E-2</v>
      </c>
      <c r="O68" s="403">
        <f>K68*L68*M68/10</f>
        <v>26.25</v>
      </c>
      <c r="P68" s="915">
        <f t="shared" si="110"/>
        <v>44.933333333333351</v>
      </c>
      <c r="Q68" s="915">
        <f t="shared" si="111"/>
        <v>57.670476190476208</v>
      </c>
      <c r="R68" s="915">
        <f t="shared" si="112"/>
        <v>69.346666666666692</v>
      </c>
      <c r="S68" s="923">
        <f t="shared" si="113"/>
        <v>81.022857142857163</v>
      </c>
      <c r="T68" s="917">
        <f t="shared" ref="T68:T71" si="141">AL68</f>
        <v>1.0285714285714287</v>
      </c>
      <c r="U68" s="919">
        <f t="shared" ref="U68:U71" si="142">AM68</f>
        <v>12.651428571428573</v>
      </c>
      <c r="V68" s="923">
        <f t="shared" si="138"/>
        <v>93.67428571428573</v>
      </c>
      <c r="X68" s="404">
        <f>BB68</f>
        <v>1075.0999999999999</v>
      </c>
      <c r="Y68" s="405">
        <f t="shared" si="115"/>
        <v>1383.85</v>
      </c>
      <c r="Z68" s="406">
        <f t="shared" si="115"/>
        <v>2458.9499999999998</v>
      </c>
      <c r="AA68" s="404">
        <f t="shared" si="116"/>
        <v>0</v>
      </c>
      <c r="AB68" s="405">
        <f t="shared" si="117"/>
        <v>0</v>
      </c>
      <c r="AC68" s="407">
        <f t="shared" si="117"/>
        <v>0</v>
      </c>
      <c r="AD68" s="408">
        <f t="shared" si="118"/>
        <v>2126.85</v>
      </c>
      <c r="AE68" s="409">
        <f t="shared" si="140"/>
        <v>2458.9499999999998</v>
      </c>
      <c r="AF68" s="410">
        <f t="shared" si="119"/>
        <v>3.8095238095238099E-2</v>
      </c>
      <c r="AG68" s="411">
        <f t="shared" si="120"/>
        <v>81.022857142857163</v>
      </c>
      <c r="AH68" s="412">
        <f t="shared" si="121"/>
        <v>93.67428571428573</v>
      </c>
      <c r="AJ68" s="765">
        <v>1</v>
      </c>
      <c r="AL68" s="413">
        <f>AX68*$N68</f>
        <v>1.0285714285714287</v>
      </c>
      <c r="AM68" s="414">
        <f t="shared" si="123"/>
        <v>12.651428571428573</v>
      </c>
      <c r="AN68" s="414">
        <f t="shared" si="124"/>
        <v>28.304761904761907</v>
      </c>
      <c r="AO68" s="414">
        <f t="shared" si="124"/>
        <v>0</v>
      </c>
      <c r="AP68" s="415">
        <f>SUM(AM68:AO68)</f>
        <v>40.956190476190478</v>
      </c>
      <c r="AQ68" s="414">
        <f t="shared" si="126"/>
        <v>25.474285714285717</v>
      </c>
      <c r="AR68" s="422">
        <f t="shared" si="126"/>
        <v>3.8914285714285719</v>
      </c>
      <c r="AS68" s="414">
        <f t="shared" si="126"/>
        <v>23.352380952380955</v>
      </c>
      <c r="AT68" s="415">
        <f>SUM(AQ68:AS68)</f>
        <v>52.718095238095245</v>
      </c>
      <c r="AU68" s="416">
        <f>AP68+AT68</f>
        <v>93.67428571428573</v>
      </c>
      <c r="AV68" s="417"/>
      <c r="AW68" s="418">
        <f t="shared" si="106"/>
        <v>217</v>
      </c>
      <c r="AX68" s="413">
        <f>IF($D68="",0,E68*'Self-Aangedrewe'!$K$268*AJ68)</f>
        <v>27</v>
      </c>
      <c r="AY68" s="414">
        <f>AX68*$E$7</f>
        <v>332.1</v>
      </c>
      <c r="AZ68" s="414">
        <f>IF($D68="",0,VLOOKUP($D68,'Self-Aangedrewe'!$A:$Z,COLUMN('Self-Aangedrewe'!P$5),FALSE))</f>
        <v>743</v>
      </c>
      <c r="BA68" s="414">
        <f>0</f>
        <v>0</v>
      </c>
      <c r="BB68" s="415">
        <f>SUM(AY68:BA68)</f>
        <v>1075.0999999999999</v>
      </c>
      <c r="BC68" s="414">
        <f>IF($D68="",0,VLOOKUP($D68,'Self-Aangedrewe'!$A:$Z,COLUMN('Self-Aangedrewe'!K$5),FALSE)*$E$9/100)</f>
        <v>668.7</v>
      </c>
      <c r="BD68" s="414">
        <f>IF($D68="",0,VLOOKUP($D68,'Self-Aangedrewe'!$A:$Z,COLUMN('Self-Aangedrewe'!L$5),FALSE))</f>
        <v>102.15</v>
      </c>
      <c r="BE68" s="414">
        <f>IF($D68="",0,VLOOKUP($D68,'Self-Aangedrewe'!$A:$Z,COLUMN('Self-Aangedrewe'!M$5),FALSE)/$G$8*$E$8)</f>
        <v>613</v>
      </c>
      <c r="BF68" s="415">
        <f>SUM(BC68:BE68)</f>
        <v>1383.85</v>
      </c>
      <c r="BG68" s="416">
        <f>BB68+BF68</f>
        <v>2458.9499999999998</v>
      </c>
      <c r="BH68" s="417"/>
      <c r="BI68" s="418">
        <f t="shared" si="108"/>
        <v>0</v>
      </c>
      <c r="BJ68" s="414">
        <f>IF($I68="",0,VLOOKUP($I68,'Self-Aangedrewe'!$A:$Z,COLUMN('Self-Aangedrewe'!J$5),FALSE))</f>
        <v>0</v>
      </c>
      <c r="BK68" s="414">
        <f>0</f>
        <v>0</v>
      </c>
      <c r="BL68" s="415">
        <f>SUM(BJ68:BK68)</f>
        <v>0</v>
      </c>
      <c r="BM68" s="414">
        <f>IF($I68="",0,VLOOKUP($I68,'Self-Aangedrewe'!$A:$Z,COLUMN('Self-Aangedrewe'!K$5),FALSE)*$E$9/100)</f>
        <v>0</v>
      </c>
      <c r="BN68" s="414">
        <f>IF($I68="",0,VLOOKUP($I68,'Self-Aangedrewe'!$A:$Z,COLUMN('Self-Aangedrewe'!L$5),FALSE))</f>
        <v>0</v>
      </c>
      <c r="BO68" s="414">
        <f>IF($I68="",0,VLOOKUP($I68,'Self-Aangedrewe'!$A:$Z,COLUMN('Self-Aangedrewe'!M$5),FALSE)/$G$8*$E$8)</f>
        <v>0</v>
      </c>
      <c r="BP68" s="415">
        <f>SUM(BM68:BO68)</f>
        <v>0</v>
      </c>
      <c r="BQ68" s="416">
        <f>SUM(BL68,BP68)</f>
        <v>0</v>
      </c>
    </row>
    <row r="69" spans="2:69">
      <c r="B69" s="397"/>
      <c r="C69" s="731"/>
      <c r="D69" s="398"/>
      <c r="E69" s="399">
        <f>IF($D69="",0,VLOOKUP($D69,'Self-Aangedrewe'!$A:$Z,COLUMN('Self-Aangedrewe'!C$5),FALSE))</f>
        <v>0</v>
      </c>
      <c r="F69" s="399">
        <f>IF($D69="",0,VLOOKUP($D69,'Self-Aangedrewe'!$A:$Z,COLUMN('Self-Aangedrewe'!D$5),FALSE))</f>
        <v>0</v>
      </c>
      <c r="G69" s="399">
        <f>IF($D69="",0,VLOOKUP($D69,'Self-Aangedrewe'!$A:$Z,COLUMN('Self-Aangedrewe'!F$5),FALSE))</f>
        <v>0</v>
      </c>
      <c r="H69" s="420">
        <f>IF($D69="",0,VLOOKUP($D69,'Self-Aangedrewe'!$A:$Z,COLUMN('Self-Aangedrewe'!E$5),FALSE))</f>
        <v>0</v>
      </c>
      <c r="I69" s="421" t="s">
        <v>117</v>
      </c>
      <c r="J69" s="400">
        <f>IF($I69="",H69,VLOOKUP($I69,'Self-Aangedrewe'!$A:$Z,COLUMN('Self-Aangedrewe'!E$5),FALSE))</f>
        <v>0</v>
      </c>
      <c r="K69" s="967"/>
      <c r="L69" s="729"/>
      <c r="M69" s="730"/>
      <c r="N69" s="402">
        <f t="shared" si="109"/>
        <v>0</v>
      </c>
      <c r="O69" s="403">
        <f t="shared" si="135"/>
        <v>0</v>
      </c>
      <c r="P69" s="915">
        <f t="shared" si="110"/>
        <v>0</v>
      </c>
      <c r="Q69" s="915">
        <f t="shared" si="111"/>
        <v>0</v>
      </c>
      <c r="R69" s="915">
        <f t="shared" si="112"/>
        <v>0</v>
      </c>
      <c r="S69" s="923">
        <f t="shared" si="113"/>
        <v>0</v>
      </c>
      <c r="T69" s="917">
        <f t="shared" si="141"/>
        <v>0</v>
      </c>
      <c r="U69" s="919">
        <f t="shared" si="142"/>
        <v>0</v>
      </c>
      <c r="V69" s="923">
        <f t="shared" si="138"/>
        <v>0</v>
      </c>
      <c r="X69" s="404">
        <f t="shared" si="114"/>
        <v>0</v>
      </c>
      <c r="Y69" s="405">
        <f t="shared" si="115"/>
        <v>0</v>
      </c>
      <c r="Z69" s="406">
        <f t="shared" si="115"/>
        <v>0</v>
      </c>
      <c r="AA69" s="404">
        <f t="shared" si="116"/>
        <v>0</v>
      </c>
      <c r="AB69" s="405">
        <f t="shared" si="117"/>
        <v>0</v>
      </c>
      <c r="AC69" s="407">
        <f t="shared" si="117"/>
        <v>0</v>
      </c>
      <c r="AD69" s="408">
        <f t="shared" si="118"/>
        <v>0</v>
      </c>
      <c r="AE69" s="409">
        <f t="shared" si="140"/>
        <v>0</v>
      </c>
      <c r="AF69" s="410">
        <f t="shared" si="119"/>
        <v>0</v>
      </c>
      <c r="AG69" s="411">
        <f t="shared" si="120"/>
        <v>0</v>
      </c>
      <c r="AH69" s="412">
        <f t="shared" si="121"/>
        <v>0</v>
      </c>
      <c r="AJ69" s="765">
        <v>1</v>
      </c>
      <c r="AL69" s="413">
        <f t="shared" si="122"/>
        <v>0</v>
      </c>
      <c r="AM69" s="414">
        <f t="shared" si="123"/>
        <v>0</v>
      </c>
      <c r="AN69" s="414">
        <f t="shared" si="124"/>
        <v>0</v>
      </c>
      <c r="AO69" s="414">
        <f t="shared" si="124"/>
        <v>0</v>
      </c>
      <c r="AP69" s="415">
        <f t="shared" si="125"/>
        <v>0</v>
      </c>
      <c r="AQ69" s="414">
        <f t="shared" si="126"/>
        <v>0</v>
      </c>
      <c r="AR69" s="422">
        <f t="shared" si="126"/>
        <v>0</v>
      </c>
      <c r="AS69" s="414">
        <f t="shared" si="126"/>
        <v>0</v>
      </c>
      <c r="AT69" s="415">
        <f t="shared" si="127"/>
        <v>0</v>
      </c>
      <c r="AU69" s="416">
        <f t="shared" si="128"/>
        <v>0</v>
      </c>
      <c r="AV69" s="417"/>
      <c r="AW69" s="418">
        <f t="shared" si="106"/>
        <v>0</v>
      </c>
      <c r="AX69" s="413">
        <f>IF($D69="",0,E69*'Self-Aangedrewe'!$K$268*AJ69)</f>
        <v>0</v>
      </c>
      <c r="AY69" s="414">
        <f t="shared" si="139"/>
        <v>0</v>
      </c>
      <c r="AZ69" s="414">
        <f>IF($D69="",0,VLOOKUP($D69,'Self-Aangedrewe'!$A:$Z,COLUMN('Self-Aangedrewe'!P$5),FALSE))</f>
        <v>0</v>
      </c>
      <c r="BA69" s="414">
        <f>0</f>
        <v>0</v>
      </c>
      <c r="BB69" s="415">
        <f t="shared" si="129"/>
        <v>0</v>
      </c>
      <c r="BC69" s="414">
        <f>IF($D69="",0,VLOOKUP($D69,'Self-Aangedrewe'!$A:$Z,COLUMN('Self-Aangedrewe'!K$5),FALSE)*$E$9/100)</f>
        <v>0</v>
      </c>
      <c r="BD69" s="414">
        <f>IF($D69="",0,VLOOKUP($D69,'Self-Aangedrewe'!$A:$Z,COLUMN('Self-Aangedrewe'!L$5),FALSE))</f>
        <v>0</v>
      </c>
      <c r="BE69" s="414">
        <f>IF($D69="",0,VLOOKUP($D69,'Self-Aangedrewe'!$A:$Z,COLUMN('Self-Aangedrewe'!M$5),FALSE)/$G$8*$E$8)</f>
        <v>0</v>
      </c>
      <c r="BF69" s="415">
        <f t="shared" si="130"/>
        <v>0</v>
      </c>
      <c r="BG69" s="416">
        <f t="shared" si="131"/>
        <v>0</v>
      </c>
      <c r="BH69" s="417"/>
      <c r="BI69" s="418" t="str">
        <f t="shared" si="108"/>
        <v/>
      </c>
      <c r="BJ69" s="414">
        <f>IF($I69="",0,VLOOKUP($I69,'Self-Aangedrewe'!$A:$Z,COLUMN('Self-Aangedrewe'!J$5),FALSE))</f>
        <v>0</v>
      </c>
      <c r="BK69" s="414">
        <f>0</f>
        <v>0</v>
      </c>
      <c r="BL69" s="415">
        <f t="shared" si="132"/>
        <v>0</v>
      </c>
      <c r="BM69" s="414">
        <f>IF($I69="",0,VLOOKUP($I69,'Self-Aangedrewe'!$A:$Z,COLUMN('Self-Aangedrewe'!K$5),FALSE)*$E$9/100)</f>
        <v>0</v>
      </c>
      <c r="BN69" s="414">
        <f>IF($I69="",0,VLOOKUP($I69,'Self-Aangedrewe'!$A:$Z,COLUMN('Self-Aangedrewe'!L$5),FALSE))</f>
        <v>0</v>
      </c>
      <c r="BO69" s="414">
        <f>IF($I69="",0,VLOOKUP($I69,'Self-Aangedrewe'!$A:$Z,COLUMN('Self-Aangedrewe'!M$5),FALSE)/$G$8*$E$8)</f>
        <v>0</v>
      </c>
      <c r="BP69" s="415">
        <f t="shared" si="133"/>
        <v>0</v>
      </c>
      <c r="BQ69" s="416">
        <f t="shared" si="134"/>
        <v>0</v>
      </c>
    </row>
    <row r="70" spans="2:69">
      <c r="B70" s="397"/>
      <c r="C70" s="731"/>
      <c r="D70" s="398"/>
      <c r="E70" s="399">
        <f>IF($D70="",0,VLOOKUP($D70,'Self-Aangedrewe'!$A:$Z,COLUMN('Self-Aangedrewe'!C$5),FALSE))</f>
        <v>0</v>
      </c>
      <c r="F70" s="399">
        <f>IF($D70="",0,VLOOKUP($D70,'Self-Aangedrewe'!$A:$Z,COLUMN('Self-Aangedrewe'!D$5),FALSE))</f>
        <v>0</v>
      </c>
      <c r="G70" s="399">
        <f>IF($D70="",0,VLOOKUP($D70,'Self-Aangedrewe'!$A:$Z,COLUMN('Self-Aangedrewe'!F$5),FALSE))</f>
        <v>0</v>
      </c>
      <c r="H70" s="420">
        <f>IF($D70="",0,VLOOKUP($D70,'Self-Aangedrewe'!$A:$Z,COLUMN('Self-Aangedrewe'!E$5),FALSE))</f>
        <v>0</v>
      </c>
      <c r="I70" s="421" t="s">
        <v>117</v>
      </c>
      <c r="J70" s="400">
        <f>IF($I70="",H70,VLOOKUP($I70,'Self-Aangedrewe'!$A:$Z,COLUMN('Self-Aangedrewe'!E$5),FALSE))</f>
        <v>0</v>
      </c>
      <c r="K70" s="967"/>
      <c r="L70" s="729"/>
      <c r="M70" s="730"/>
      <c r="N70" s="402">
        <f t="shared" si="109"/>
        <v>0</v>
      </c>
      <c r="O70" s="403">
        <f t="shared" si="135"/>
        <v>0</v>
      </c>
      <c r="P70" s="915">
        <f t="shared" si="110"/>
        <v>0</v>
      </c>
      <c r="Q70" s="915">
        <f t="shared" si="111"/>
        <v>0</v>
      </c>
      <c r="R70" s="915">
        <f t="shared" si="112"/>
        <v>0</v>
      </c>
      <c r="S70" s="923">
        <f t="shared" si="113"/>
        <v>0</v>
      </c>
      <c r="T70" s="917">
        <f t="shared" si="141"/>
        <v>0</v>
      </c>
      <c r="U70" s="919">
        <f t="shared" si="142"/>
        <v>0</v>
      </c>
      <c r="V70" s="923">
        <f t="shared" si="138"/>
        <v>0</v>
      </c>
      <c r="X70" s="404">
        <f t="shared" si="114"/>
        <v>0</v>
      </c>
      <c r="Y70" s="405">
        <f t="shared" si="115"/>
        <v>0</v>
      </c>
      <c r="Z70" s="406">
        <f t="shared" si="115"/>
        <v>0</v>
      </c>
      <c r="AA70" s="404">
        <f t="shared" si="116"/>
        <v>0</v>
      </c>
      <c r="AB70" s="405">
        <f t="shared" si="117"/>
        <v>0</v>
      </c>
      <c r="AC70" s="407">
        <f t="shared" si="117"/>
        <v>0</v>
      </c>
      <c r="AD70" s="408">
        <f t="shared" si="118"/>
        <v>0</v>
      </c>
      <c r="AE70" s="409">
        <f t="shared" si="140"/>
        <v>0</v>
      </c>
      <c r="AF70" s="410">
        <f t="shared" si="119"/>
        <v>0</v>
      </c>
      <c r="AG70" s="411">
        <f t="shared" si="120"/>
        <v>0</v>
      </c>
      <c r="AH70" s="412">
        <f t="shared" si="121"/>
        <v>0</v>
      </c>
      <c r="AJ70" s="765">
        <v>1</v>
      </c>
      <c r="AL70" s="413">
        <f t="shared" si="122"/>
        <v>0</v>
      </c>
      <c r="AM70" s="414">
        <f t="shared" si="123"/>
        <v>0</v>
      </c>
      <c r="AN70" s="414">
        <f t="shared" si="124"/>
        <v>0</v>
      </c>
      <c r="AO70" s="414">
        <f t="shared" si="124"/>
        <v>0</v>
      </c>
      <c r="AP70" s="415">
        <f t="shared" si="125"/>
        <v>0</v>
      </c>
      <c r="AQ70" s="414">
        <f t="shared" si="126"/>
        <v>0</v>
      </c>
      <c r="AR70" s="422">
        <f t="shared" si="126"/>
        <v>0</v>
      </c>
      <c r="AS70" s="414">
        <f t="shared" si="126"/>
        <v>0</v>
      </c>
      <c r="AT70" s="415">
        <f t="shared" si="127"/>
        <v>0</v>
      </c>
      <c r="AU70" s="416">
        <f t="shared" si="128"/>
        <v>0</v>
      </c>
      <c r="AV70" s="417"/>
      <c r="AW70" s="418">
        <f t="shared" si="106"/>
        <v>0</v>
      </c>
      <c r="AX70" s="413">
        <f>IF($D70="",0,E70*'Self-Aangedrewe'!$K$268*AJ70)</f>
        <v>0</v>
      </c>
      <c r="AY70" s="414">
        <f t="shared" si="139"/>
        <v>0</v>
      </c>
      <c r="AZ70" s="414">
        <f>IF($D70="",0,VLOOKUP($D70,'Self-Aangedrewe'!$A:$Z,COLUMN('Self-Aangedrewe'!P$5),FALSE))</f>
        <v>0</v>
      </c>
      <c r="BA70" s="414">
        <f>0</f>
        <v>0</v>
      </c>
      <c r="BB70" s="415">
        <f t="shared" si="129"/>
        <v>0</v>
      </c>
      <c r="BC70" s="414">
        <f>IF($D70="",0,VLOOKUP($D70,'Self-Aangedrewe'!$A:$Z,COLUMN('Self-Aangedrewe'!K$5),FALSE)*$E$9/100)</f>
        <v>0</v>
      </c>
      <c r="BD70" s="414">
        <f>IF($D70="",0,VLOOKUP($D70,'Self-Aangedrewe'!$A:$Z,COLUMN('Self-Aangedrewe'!L$5),FALSE))</f>
        <v>0</v>
      </c>
      <c r="BE70" s="414">
        <f>IF($D70="",0,VLOOKUP($D70,'Self-Aangedrewe'!$A:$Z,COLUMN('Self-Aangedrewe'!M$5),FALSE)/$G$8*$E$8)</f>
        <v>0</v>
      </c>
      <c r="BF70" s="415">
        <f t="shared" si="130"/>
        <v>0</v>
      </c>
      <c r="BG70" s="416">
        <f t="shared" si="131"/>
        <v>0</v>
      </c>
      <c r="BH70" s="417"/>
      <c r="BI70" s="418" t="str">
        <f t="shared" si="108"/>
        <v/>
      </c>
      <c r="BJ70" s="414">
        <f>IF($I70="",0,VLOOKUP($I70,'Self-Aangedrewe'!$A:$Z,COLUMN('Self-Aangedrewe'!J$5),FALSE))</f>
        <v>0</v>
      </c>
      <c r="BK70" s="414">
        <f>0</f>
        <v>0</v>
      </c>
      <c r="BL70" s="415">
        <f t="shared" si="132"/>
        <v>0</v>
      </c>
      <c r="BM70" s="414">
        <f>IF($I70="",0,VLOOKUP($I70,'Self-Aangedrewe'!$A:$Z,COLUMN('Self-Aangedrewe'!K$5),FALSE)*$E$9/100)</f>
        <v>0</v>
      </c>
      <c r="BN70" s="414">
        <f>IF($I70="",0,VLOOKUP($I70,'Self-Aangedrewe'!$A:$Z,COLUMN('Self-Aangedrewe'!L$5),FALSE))</f>
        <v>0</v>
      </c>
      <c r="BO70" s="414">
        <f>IF($I70="",0,VLOOKUP($I70,'Self-Aangedrewe'!$A:$Z,COLUMN('Self-Aangedrewe'!M$5),FALSE)/$G$8*$E$8)</f>
        <v>0</v>
      </c>
      <c r="BP70" s="415">
        <f t="shared" si="133"/>
        <v>0</v>
      </c>
      <c r="BQ70" s="416">
        <f t="shared" si="134"/>
        <v>0</v>
      </c>
    </row>
    <row r="71" spans="2:69">
      <c r="B71" s="397"/>
      <c r="C71" s="731"/>
      <c r="D71" s="398"/>
      <c r="E71" s="399">
        <f>IF($D71="",0,VLOOKUP($D71,'Self-Aangedrewe'!$A:$Z,COLUMN('Self-Aangedrewe'!C$5),FALSE))</f>
        <v>0</v>
      </c>
      <c r="F71" s="399">
        <f>IF($D71="",0,VLOOKUP($D71,'Self-Aangedrewe'!$A:$Z,COLUMN('Self-Aangedrewe'!D$5),FALSE))</f>
        <v>0</v>
      </c>
      <c r="G71" s="399">
        <f>IF($D71="",0,VLOOKUP($D71,'Self-Aangedrewe'!$A:$Z,COLUMN('Self-Aangedrewe'!F$5),FALSE))</f>
        <v>0</v>
      </c>
      <c r="H71" s="420">
        <f>IF($D71="",0,VLOOKUP($D71,'Self-Aangedrewe'!$A:$Z,COLUMN('Self-Aangedrewe'!E$5),FALSE))</f>
        <v>0</v>
      </c>
      <c r="I71" s="421" t="s">
        <v>117</v>
      </c>
      <c r="J71" s="400">
        <f>IF($I71="",H71,VLOOKUP($I71,'Self-Aangedrewe'!$A:$Z,COLUMN('Self-Aangedrewe'!E$5),FALSE))</f>
        <v>0</v>
      </c>
      <c r="K71" s="967"/>
      <c r="L71" s="729"/>
      <c r="M71" s="730"/>
      <c r="N71" s="402">
        <f t="shared" si="109"/>
        <v>0</v>
      </c>
      <c r="O71" s="403">
        <f t="shared" si="135"/>
        <v>0</v>
      </c>
      <c r="P71" s="915">
        <f t="shared" si="110"/>
        <v>0</v>
      </c>
      <c r="Q71" s="915">
        <f t="shared" si="111"/>
        <v>0</v>
      </c>
      <c r="R71" s="915">
        <f t="shared" si="112"/>
        <v>0</v>
      </c>
      <c r="S71" s="923">
        <f t="shared" si="113"/>
        <v>0</v>
      </c>
      <c r="T71" s="917">
        <f t="shared" si="141"/>
        <v>0</v>
      </c>
      <c r="U71" s="919">
        <f t="shared" si="142"/>
        <v>0</v>
      </c>
      <c r="V71" s="923">
        <f t="shared" si="138"/>
        <v>0</v>
      </c>
      <c r="X71" s="404">
        <f t="shared" si="114"/>
        <v>0</v>
      </c>
      <c r="Y71" s="405">
        <f t="shared" si="115"/>
        <v>0</v>
      </c>
      <c r="Z71" s="406">
        <f t="shared" si="115"/>
        <v>0</v>
      </c>
      <c r="AA71" s="404">
        <f t="shared" si="116"/>
        <v>0</v>
      </c>
      <c r="AB71" s="405">
        <f t="shared" si="117"/>
        <v>0</v>
      </c>
      <c r="AC71" s="407">
        <f t="shared" si="117"/>
        <v>0</v>
      </c>
      <c r="AD71" s="408">
        <f t="shared" si="118"/>
        <v>0</v>
      </c>
      <c r="AE71" s="409">
        <f t="shared" si="140"/>
        <v>0</v>
      </c>
      <c r="AF71" s="410">
        <f t="shared" si="119"/>
        <v>0</v>
      </c>
      <c r="AG71" s="411">
        <f t="shared" si="120"/>
        <v>0</v>
      </c>
      <c r="AH71" s="412">
        <f t="shared" si="121"/>
        <v>0</v>
      </c>
      <c r="AJ71" s="765">
        <v>1</v>
      </c>
      <c r="AL71" s="413">
        <f t="shared" si="122"/>
        <v>0</v>
      </c>
      <c r="AM71" s="414">
        <f t="shared" si="123"/>
        <v>0</v>
      </c>
      <c r="AN71" s="414">
        <f t="shared" si="124"/>
        <v>0</v>
      </c>
      <c r="AO71" s="414">
        <f t="shared" si="124"/>
        <v>0</v>
      </c>
      <c r="AP71" s="415">
        <f t="shared" si="125"/>
        <v>0</v>
      </c>
      <c r="AQ71" s="414">
        <f t="shared" si="126"/>
        <v>0</v>
      </c>
      <c r="AR71" s="422">
        <f t="shared" si="126"/>
        <v>0</v>
      </c>
      <c r="AS71" s="414">
        <f t="shared" si="126"/>
        <v>0</v>
      </c>
      <c r="AT71" s="415">
        <f t="shared" si="127"/>
        <v>0</v>
      </c>
      <c r="AU71" s="416">
        <f t="shared" si="128"/>
        <v>0</v>
      </c>
      <c r="AV71" s="417"/>
      <c r="AW71" s="418">
        <f t="shared" si="106"/>
        <v>0</v>
      </c>
      <c r="AX71" s="413">
        <f>IF($D71="",0,E71*'Self-Aangedrewe'!$K$268*AJ71)</f>
        <v>0</v>
      </c>
      <c r="AY71" s="414">
        <f t="shared" si="139"/>
        <v>0</v>
      </c>
      <c r="AZ71" s="414">
        <f>IF($D71="",0,VLOOKUP($D71,'Self-Aangedrewe'!$A:$Z,COLUMN('Self-Aangedrewe'!P$5),FALSE))</f>
        <v>0</v>
      </c>
      <c r="BA71" s="414">
        <f>0</f>
        <v>0</v>
      </c>
      <c r="BB71" s="415">
        <f t="shared" si="129"/>
        <v>0</v>
      </c>
      <c r="BC71" s="414">
        <f>IF($D71="",0,VLOOKUP($D71,'Self-Aangedrewe'!$A:$Z,COLUMN('Self-Aangedrewe'!K$5),FALSE)*$E$9/100)</f>
        <v>0</v>
      </c>
      <c r="BD71" s="414">
        <f>IF($D71="",0,VLOOKUP($D71,'Self-Aangedrewe'!$A:$Z,COLUMN('Self-Aangedrewe'!L$5),FALSE))</f>
        <v>0</v>
      </c>
      <c r="BE71" s="414">
        <f>IF($D71="",0,VLOOKUP($D71,'Self-Aangedrewe'!$A:$Z,COLUMN('Self-Aangedrewe'!M$5),FALSE)/$G$8*$E$8)</f>
        <v>0</v>
      </c>
      <c r="BF71" s="415">
        <f t="shared" si="130"/>
        <v>0</v>
      </c>
      <c r="BG71" s="416">
        <f t="shared" si="131"/>
        <v>0</v>
      </c>
      <c r="BH71" s="417"/>
      <c r="BI71" s="418" t="str">
        <f t="shared" si="108"/>
        <v/>
      </c>
      <c r="BJ71" s="414">
        <f>IF($I71="",0,VLOOKUP($I71,'Self-Aangedrewe'!$A:$Z,COLUMN('Self-Aangedrewe'!J$5),FALSE))</f>
        <v>0</v>
      </c>
      <c r="BK71" s="414">
        <f>0</f>
        <v>0</v>
      </c>
      <c r="BL71" s="415">
        <f t="shared" si="132"/>
        <v>0</v>
      </c>
      <c r="BM71" s="414">
        <f>IF($I71="",0,VLOOKUP($I71,'Self-Aangedrewe'!$A:$Z,COLUMN('Self-Aangedrewe'!K$5),FALSE)*$E$9/100)</f>
        <v>0</v>
      </c>
      <c r="BN71" s="414">
        <f>IF($I71="",0,VLOOKUP($I71,'Self-Aangedrewe'!$A:$Z,COLUMN('Self-Aangedrewe'!L$5),FALSE))</f>
        <v>0</v>
      </c>
      <c r="BO71" s="414">
        <f>IF($I71="",0,VLOOKUP($I71,'Self-Aangedrewe'!$A:$Z,COLUMN('Self-Aangedrewe'!M$5),FALSE)/$G$8*$E$8)</f>
        <v>0</v>
      </c>
      <c r="BP71" s="415">
        <f t="shared" si="133"/>
        <v>0</v>
      </c>
      <c r="BQ71" s="416">
        <f t="shared" si="134"/>
        <v>0</v>
      </c>
    </row>
    <row r="72" spans="2:69">
      <c r="AL72" s="344" t="s">
        <v>220</v>
      </c>
      <c r="AX72" s="344" t="s">
        <v>220</v>
      </c>
    </row>
    <row r="73" spans="2:69">
      <c r="AL73" s="344"/>
      <c r="AX73" s="344"/>
    </row>
    <row r="74" spans="2:69" ht="18.75" thickBot="1">
      <c r="B74" s="359" t="s">
        <v>224</v>
      </c>
      <c r="C74" s="360"/>
      <c r="D74" s="360"/>
      <c r="E74" s="360"/>
      <c r="F74" s="360"/>
      <c r="G74" s="360"/>
      <c r="H74" s="360"/>
      <c r="I74" s="360"/>
      <c r="J74" s="360"/>
      <c r="AL74" s="363" t="str">
        <f>B74</f>
        <v>VERVOER : TREKKER MET SLEEPWA</v>
      </c>
      <c r="AW74" s="365" t="s">
        <v>81</v>
      </c>
      <c r="AX74" s="366"/>
      <c r="AY74" s="366"/>
      <c r="BI74" s="365" t="s">
        <v>201</v>
      </c>
      <c r="BJ74" s="366"/>
      <c r="BK74" s="366"/>
    </row>
    <row r="75" spans="2:69" ht="13.5" thickBot="1">
      <c r="B75" s="367"/>
      <c r="C75" s="368"/>
      <c r="D75" s="369"/>
      <c r="E75" s="369"/>
      <c r="F75" s="369"/>
      <c r="G75" s="369"/>
      <c r="H75" s="369"/>
      <c r="I75" s="369"/>
      <c r="J75" s="368"/>
      <c r="K75" s="369"/>
      <c r="L75" s="369"/>
      <c r="M75" s="369"/>
      <c r="N75" s="369"/>
      <c r="O75" s="369"/>
      <c r="P75" s="369"/>
      <c r="Q75" s="369"/>
      <c r="R75" s="369"/>
      <c r="S75" s="922"/>
      <c r="T75" s="369"/>
      <c r="U75" s="369"/>
      <c r="V75" s="922"/>
      <c r="X75" s="423"/>
      <c r="Y75" s="369"/>
      <c r="Z75" s="369"/>
      <c r="AA75" s="369"/>
      <c r="AB75" s="369"/>
      <c r="AC75" s="369"/>
      <c r="AD75" s="369"/>
      <c r="AE75" s="369"/>
      <c r="AF75" s="370"/>
      <c r="AG75" s="369"/>
      <c r="AH75" s="369"/>
      <c r="AL75" s="364" t="s">
        <v>574</v>
      </c>
      <c r="AW75" s="364" t="s">
        <v>943</v>
      </c>
      <c r="BI75" s="364" t="s">
        <v>943</v>
      </c>
    </row>
    <row r="76" spans="2:69" s="374" customFormat="1" ht="12.75" customHeight="1">
      <c r="B76" s="371"/>
      <c r="C76" s="372"/>
      <c r="D76" s="1040" t="s">
        <v>29</v>
      </c>
      <c r="E76" s="1041"/>
      <c r="F76" s="1041"/>
      <c r="G76" s="1041"/>
      <c r="H76" s="1041"/>
      <c r="I76" s="1040" t="s">
        <v>202</v>
      </c>
      <c r="J76" s="1043"/>
      <c r="K76" s="1041" t="s">
        <v>200</v>
      </c>
      <c r="L76" s="1041"/>
      <c r="M76" s="1044"/>
      <c r="N76" s="1040" t="s">
        <v>205</v>
      </c>
      <c r="O76" s="1041"/>
      <c r="P76" s="1041"/>
      <c r="Q76" s="1041"/>
      <c r="R76" s="1041"/>
      <c r="S76" s="1041"/>
      <c r="T76" s="1041"/>
      <c r="U76" s="1041"/>
      <c r="V76" s="457"/>
      <c r="W76" s="356"/>
      <c r="X76" s="1040" t="s">
        <v>29</v>
      </c>
      <c r="Y76" s="1041"/>
      <c r="Z76" s="1043"/>
      <c r="AA76" s="1045" t="s">
        <v>202</v>
      </c>
      <c r="AB76" s="1041"/>
      <c r="AC76" s="1044"/>
      <c r="AD76" s="1040" t="str">
        <f>AD$13</f>
        <v>R/UUR</v>
      </c>
      <c r="AE76" s="1041" t="str">
        <f>$AD$13</f>
        <v>R/UUR</v>
      </c>
      <c r="AF76" s="373"/>
      <c r="AG76" s="1040" t="s">
        <v>575</v>
      </c>
      <c r="AH76" s="1043"/>
      <c r="AI76" s="356"/>
      <c r="AJ76" s="356"/>
      <c r="AK76" s="356"/>
      <c r="AL76" s="1042" t="str">
        <f>$AL$13</f>
        <v>VERANDERLIKE KOSTE</v>
      </c>
      <c r="AM76" s="1042"/>
      <c r="AN76" s="1042"/>
      <c r="AO76" s="1042"/>
      <c r="AP76" s="1042"/>
      <c r="AQ76" s="1042" t="str">
        <f>$AQ$13</f>
        <v>VASTE KOSTE</v>
      </c>
      <c r="AR76" s="1042"/>
      <c r="AS76" s="1042"/>
      <c r="AT76" s="1042"/>
      <c r="AU76" s="912" t="str">
        <f>$AU$13</f>
        <v>TOTAAL</v>
      </c>
      <c r="AW76" s="912"/>
      <c r="AX76" s="1042" t="str">
        <f>AX$13</f>
        <v>VERANDERLIKE KOSTE</v>
      </c>
      <c r="AY76" s="1042"/>
      <c r="AZ76" s="1042"/>
      <c r="BA76" s="1042"/>
      <c r="BB76" s="1042"/>
      <c r="BC76" s="1042" t="str">
        <f>BC$13</f>
        <v>VASTE KOSTE</v>
      </c>
      <c r="BD76" s="1042"/>
      <c r="BE76" s="1042"/>
      <c r="BF76" s="1042"/>
      <c r="BG76" s="912" t="str">
        <f>BG$13</f>
        <v>TOTAAL</v>
      </c>
      <c r="BI76" s="912"/>
      <c r="BJ76" s="1042" t="str">
        <f>$BJ$13</f>
        <v>VERANDERLIKE KOSTE</v>
      </c>
      <c r="BK76" s="1042"/>
      <c r="BL76" s="1042"/>
      <c r="BM76" s="1042" t="str">
        <f>$BM$13</f>
        <v>VASTE KOSTE</v>
      </c>
      <c r="BN76" s="1042"/>
      <c r="BO76" s="1042"/>
      <c r="BP76" s="1042"/>
      <c r="BQ76" s="912" t="str">
        <f>$BQ$13</f>
        <v>TOTAAL</v>
      </c>
    </row>
    <row r="77" spans="2:69" s="395" customFormat="1" ht="39" thickBot="1">
      <c r="B77" s="375" t="s">
        <v>83</v>
      </c>
      <c r="C77" s="376" t="s">
        <v>34</v>
      </c>
      <c r="D77" s="424" t="s">
        <v>128</v>
      </c>
      <c r="E77" s="378" t="s">
        <v>180</v>
      </c>
      <c r="F77" s="378" t="s">
        <v>195</v>
      </c>
      <c r="G77" s="379" t="s">
        <v>148</v>
      </c>
      <c r="H77" s="380" t="s">
        <v>129</v>
      </c>
      <c r="I77" s="424" t="s">
        <v>203</v>
      </c>
      <c r="J77" s="381" t="s">
        <v>204</v>
      </c>
      <c r="K77" s="382" t="s">
        <v>551</v>
      </c>
      <c r="L77" s="375" t="s">
        <v>161</v>
      </c>
      <c r="M77" s="425" t="s">
        <v>206</v>
      </c>
      <c r="N77" s="426" t="s">
        <v>199</v>
      </c>
      <c r="O77" s="382"/>
      <c r="P77" s="913" t="s">
        <v>1286</v>
      </c>
      <c r="Q77" s="914" t="s">
        <v>1283</v>
      </c>
      <c r="R77" s="914" t="s">
        <v>1284</v>
      </c>
      <c r="S77" s="921" t="s">
        <v>1285</v>
      </c>
      <c r="T77" s="916" t="s">
        <v>87</v>
      </c>
      <c r="U77" s="918" t="s">
        <v>181</v>
      </c>
      <c r="V77" s="921" t="s">
        <v>1287</v>
      </c>
      <c r="W77" s="356"/>
      <c r="X77" s="385" t="str">
        <f>X$14</f>
        <v>Veranderlik (R/Uur)</v>
      </c>
      <c r="Y77" s="386" t="str">
        <f>Y$14</f>
        <v>Vaste (R/Uur)</v>
      </c>
      <c r="Z77" s="378" t="str">
        <f>Z$14</f>
        <v>Totaal (R/Uur)</v>
      </c>
      <c r="AA77" s="385" t="str">
        <f>AA$14</f>
        <v>Veranderlik (R/Uur)</v>
      </c>
      <c r="AB77" s="386" t="str">
        <f>AB$14</f>
        <v>Vaste (R/Uur)</v>
      </c>
      <c r="AC77" s="387" t="s">
        <v>544</v>
      </c>
      <c r="AD77" s="388" t="str">
        <f>AD$14</f>
        <v>Koste (R/Uur) : Droog</v>
      </c>
      <c r="AE77" s="385" t="str">
        <f>AE$14</f>
        <v>Koste (R/Uur) : Totaal</v>
      </c>
      <c r="AF77" s="389" t="s">
        <v>576</v>
      </c>
      <c r="AG77" s="390" t="s">
        <v>562</v>
      </c>
      <c r="AH77" s="391" t="s">
        <v>563</v>
      </c>
      <c r="AI77" s="356"/>
      <c r="AJ77" s="375" t="s">
        <v>1104</v>
      </c>
      <c r="AK77" s="356"/>
      <c r="AL77" s="383" t="s">
        <v>564</v>
      </c>
      <c r="AM77" s="375" t="s">
        <v>565</v>
      </c>
      <c r="AN77" s="375" t="s">
        <v>566</v>
      </c>
      <c r="AO77" s="375" t="s">
        <v>567</v>
      </c>
      <c r="AP77" s="392" t="s">
        <v>568</v>
      </c>
      <c r="AQ77" s="375" t="s">
        <v>569</v>
      </c>
      <c r="AR77" s="375" t="s">
        <v>570</v>
      </c>
      <c r="AS77" s="393" t="s">
        <v>571</v>
      </c>
      <c r="AT77" s="392" t="s">
        <v>572</v>
      </c>
      <c r="AU77" s="394" t="s">
        <v>573</v>
      </c>
      <c r="AW77" s="396" t="str">
        <f t="shared" ref="AW77:AW87" si="143">D77</f>
        <v>Trekker kode</v>
      </c>
      <c r="AX77" s="383" t="str">
        <f t="shared" ref="AX77:BG77" si="144">AX$14</f>
        <v>Brandstof gebruik (Lt/Uur)</v>
      </c>
      <c r="AY77" s="375" t="str">
        <f t="shared" si="144"/>
        <v>Brandstof koste (R/Uur)</v>
      </c>
      <c r="AZ77" s="375" t="str">
        <f t="shared" si="144"/>
        <v>Herstel &amp; Ondrh. (R/Uur)</v>
      </c>
      <c r="BA77" s="375" t="str">
        <f t="shared" si="144"/>
        <v>Alle ander (R/Uur)</v>
      </c>
      <c r="BB77" s="392" t="str">
        <f t="shared" si="144"/>
        <v>Totaal Verandrlik (R/Uur)</v>
      </c>
      <c r="BC77" s="393" t="str">
        <f t="shared" si="144"/>
        <v>Waarde- vermindr (R/Uur)</v>
      </c>
      <c r="BD77" s="375" t="str">
        <f t="shared" si="144"/>
        <v>Verseker &amp; lisensie (R/Uur)</v>
      </c>
      <c r="BE77" s="375" t="str">
        <f t="shared" si="144"/>
        <v>Rente 
(R/Uur)</v>
      </c>
      <c r="BF77" s="392" t="str">
        <f t="shared" si="144"/>
        <v>Totaal Vaste (R/Uur)</v>
      </c>
      <c r="BG77" s="394" t="str">
        <f t="shared" si="144"/>
        <v>Totale Koste (R/Uur)</v>
      </c>
      <c r="BI77" s="396" t="str">
        <f t="shared" ref="BI77:BI87" si="145">I77</f>
        <v>Sleepwa Kode</v>
      </c>
      <c r="BJ77" s="375" t="str">
        <f t="shared" ref="BJ77:BQ77" si="146">BJ$14</f>
        <v>Herstel &amp; Ondrh. (R/Uur)</v>
      </c>
      <c r="BK77" s="375" t="str">
        <f t="shared" si="146"/>
        <v>Alle ander (R/Uur)</v>
      </c>
      <c r="BL77" s="392" t="str">
        <f t="shared" si="146"/>
        <v>Totaal Verandrlik (R/Uur)</v>
      </c>
      <c r="BM77" s="375" t="str">
        <f t="shared" si="146"/>
        <v>Waarde- vermindr (R/Uur)</v>
      </c>
      <c r="BN77" s="393" t="str">
        <f t="shared" si="146"/>
        <v>Verseker &amp; lisensie (R/Uur)</v>
      </c>
      <c r="BO77" s="375" t="str">
        <f t="shared" si="146"/>
        <v>Rente 
(R/Uur)</v>
      </c>
      <c r="BP77" s="392" t="str">
        <f t="shared" si="146"/>
        <v>Totaal Vaste (R/Uur)</v>
      </c>
      <c r="BQ77" s="394" t="str">
        <f t="shared" si="146"/>
        <v>Totale Koste (R/Uur)</v>
      </c>
    </row>
    <row r="78" spans="2:69">
      <c r="B78" s="427"/>
      <c r="C78" s="731" t="s">
        <v>229</v>
      </c>
      <c r="D78" s="398">
        <f>Trekkers!$A$29</f>
        <v>29</v>
      </c>
      <c r="E78" s="399">
        <f>IF($D78="",0,VLOOKUP($D78,Trekkers!$A:$U,COLUMN(Trekkers!C$5),FALSE))</f>
        <v>100</v>
      </c>
      <c r="F78" s="399">
        <f>IF($D78="",0,VLOOKUP($D78,Trekkers!$A:$U,COLUMN(Trekkers!D$5),FALSE))</f>
        <v>134.10220895950283</v>
      </c>
      <c r="G78" s="399" t="str">
        <f>IF($D78="",0,VLOOKUP($D78,Trekkers!$A:$U,COLUMN(Trekkers!E$5),FALSE))</f>
        <v>2W</v>
      </c>
      <c r="H78" s="815" t="s">
        <v>132</v>
      </c>
      <c r="I78" s="398">
        <f>'Implemente &amp; Waens'!$A$585</f>
        <v>585</v>
      </c>
      <c r="J78" s="400" t="str">
        <f>IF($I78=0,0,VLOOKUP($I78,'Implemente &amp; Waens'!$A:$Z,COLUMN('Implemente &amp; Waens'!C$5),FALSE))</f>
        <v>Sleepwa : 10 Ton, vier-wiel</v>
      </c>
      <c r="K78" s="728">
        <v>15</v>
      </c>
      <c r="L78" s="730">
        <v>0.9</v>
      </c>
      <c r="M78" s="428">
        <f>IF($L78=0,0,1/K78*100/L78)</f>
        <v>7.4074074074074074</v>
      </c>
      <c r="N78" s="733">
        <v>7</v>
      </c>
      <c r="O78" s="401"/>
      <c r="P78" s="915">
        <f>$AU78-$AM78-$AS78*100%-$AQ78*50%</f>
        <v>1.5910052910052916</v>
      </c>
      <c r="Q78" s="915">
        <f>$AU78-$AM78-$AS78*100%-$AQ78*0%</f>
        <v>2.0539682539682547</v>
      </c>
      <c r="R78" s="915">
        <f>$AU78-$AM78-$AS78*50%-$AQ78*0%</f>
        <v>2.4801587301587307</v>
      </c>
      <c r="S78" s="923">
        <f>$AU78-$AM78-$AS78*0%-$AQ78*0%</f>
        <v>2.9063492063492071</v>
      </c>
      <c r="T78" s="917">
        <f>AL78</f>
        <v>0.19047619047619047</v>
      </c>
      <c r="U78" s="919">
        <f>AM78</f>
        <v>2.342857142857143</v>
      </c>
      <c r="V78" s="923">
        <f>S78+U78</f>
        <v>5.2492063492063501</v>
      </c>
      <c r="X78" s="404">
        <f>BB78</f>
        <v>303.89999999999998</v>
      </c>
      <c r="Y78" s="405">
        <f t="shared" ref="Y78:Z87" si="147">BF78</f>
        <v>148.4</v>
      </c>
      <c r="Z78" s="406">
        <f t="shared" si="147"/>
        <v>452.29999999999995</v>
      </c>
      <c r="AA78" s="404">
        <f>BL78</f>
        <v>11.05</v>
      </c>
      <c r="AB78" s="405">
        <f t="shared" ref="AB78:AC87" si="148">BP78</f>
        <v>32.700000000000003</v>
      </c>
      <c r="AC78" s="407">
        <f t="shared" si="148"/>
        <v>43.75</v>
      </c>
      <c r="AD78" s="408">
        <f t="shared" ref="AD78:AD87" si="149">AE78-AY78</f>
        <v>274.64999999999998</v>
      </c>
      <c r="AE78" s="409">
        <f>SUM(Z78,AC78)</f>
        <v>496.04999999999995</v>
      </c>
      <c r="AF78" s="410">
        <f t="shared" ref="AF78:AF87" si="150">K78*L78</f>
        <v>13.5</v>
      </c>
      <c r="AG78" s="411">
        <f t="shared" ref="AG78:AG87" si="151">AH78-AM78</f>
        <v>2.9063492063492071</v>
      </c>
      <c r="AH78" s="412">
        <f>AU78</f>
        <v>5.2492063492063501</v>
      </c>
      <c r="AJ78" s="765">
        <v>1</v>
      </c>
      <c r="AL78" s="413">
        <f t="shared" ref="AL78:AL87" si="152">IF($N78=0,0,AX78/$AF78/$N78)</f>
        <v>0.19047619047619047</v>
      </c>
      <c r="AM78" s="414">
        <f t="shared" ref="AM78:AM87" si="153">AL78*$E$7</f>
        <v>2.342857142857143</v>
      </c>
      <c r="AN78" s="414">
        <f t="shared" ref="AN78:AN87" si="154">IF($N78=0,0,(AZ78+BJ78)/$AF78/$N78)</f>
        <v>0.98994708994708991</v>
      </c>
      <c r="AO78" s="414">
        <f t="shared" ref="AO78:AO87" si="155">IF($N78=0,0,(BA78+BK78)/$AF78/$N78)</f>
        <v>0</v>
      </c>
      <c r="AP78" s="415">
        <f>SUM(AM78:AO78)</f>
        <v>3.3328042328042331</v>
      </c>
      <c r="AQ78" s="414">
        <f t="shared" ref="AQ78:AQ87" si="156">IF($N78=0,0,(BC78+BM78)/$AF78/$N78)</f>
        <v>0.92592592592592593</v>
      </c>
      <c r="AR78" s="414">
        <f t="shared" ref="AR78:AR87" si="157">IF($N78=0,0,(BD78+BN78)/$AF78/$N78)</f>
        <v>0.1380952380952381</v>
      </c>
      <c r="AS78" s="414">
        <f t="shared" ref="AS78:AS87" si="158">IF($N78=0,0,(BE78+BO78)/$AF78/$N78)</f>
        <v>0.85238095238095257</v>
      </c>
      <c r="AT78" s="415">
        <f>SUM(AQ78:AS78)</f>
        <v>1.9164021164021166</v>
      </c>
      <c r="AU78" s="416">
        <f>AP78+AT78</f>
        <v>5.2492063492063501</v>
      </c>
      <c r="AV78" s="417"/>
      <c r="AW78" s="418">
        <f t="shared" si="143"/>
        <v>29</v>
      </c>
      <c r="AX78" s="413">
        <f>IF(D78="",0,E78*VLOOKUP(H78,Trekkers!$E$141:$L$143,COLUMNS(Trekkers!$E$141:$L$141),FALSE)*AJ78)</f>
        <v>18</v>
      </c>
      <c r="AY78" s="414">
        <f>AX78*$E$7</f>
        <v>221.4</v>
      </c>
      <c r="AZ78" s="414">
        <f>IF(D78="",0,VLOOKUP($D78,Trekkers!$A:$V,COLUMN(Trekkers!$K$5),FALSE))</f>
        <v>82.5</v>
      </c>
      <c r="BA78" s="414">
        <f>0</f>
        <v>0</v>
      </c>
      <c r="BB78" s="415">
        <f>SUM(AY78:BA78)</f>
        <v>303.89999999999998</v>
      </c>
      <c r="BC78" s="414">
        <f>IF($D78="",0,VLOOKUP($D78,Trekkers!$A:$V,COLUMN(Trekkers!$G$5),FALSE)*$E$9/100)</f>
        <v>74.25</v>
      </c>
      <c r="BD78" s="414">
        <f>IF($D78="",0,VLOOKUP($D78,Trekkers!$A:$V,COLUMN(Trekkers!$H$5),FALSE))</f>
        <v>10.600000000000001</v>
      </c>
      <c r="BE78" s="414">
        <f>IF($D78="",0,VLOOKUP($D78,Trekkers!$A:$V,COLUMN(Trekkers!$I$5),FALSE)/$G$8*$E$8)</f>
        <v>63.550000000000004</v>
      </c>
      <c r="BF78" s="415">
        <f>SUM(BC78:BE78)</f>
        <v>148.4</v>
      </c>
      <c r="BG78" s="416">
        <f>BB78+BF78</f>
        <v>452.29999999999995</v>
      </c>
      <c r="BH78" s="417"/>
      <c r="BI78" s="418">
        <f t="shared" si="145"/>
        <v>585</v>
      </c>
      <c r="BJ78" s="414">
        <f>IF($I78=0,0,VLOOKUP($I78,'Implemente &amp; Waens'!$A:$Z,COLUMN('Implemente &amp; Waens'!M$5),FALSE))</f>
        <v>11.05</v>
      </c>
      <c r="BK78" s="414">
        <f>IF($I78=0,0,VLOOKUP($I78,'Implemente &amp; Waens'!$A:$Z,COLUMN('Implemente &amp; Waens'!N$5),FALSE))</f>
        <v>0</v>
      </c>
      <c r="BL78" s="415">
        <f>SUM(BJ78:BK78)</f>
        <v>11.05</v>
      </c>
      <c r="BM78" s="414">
        <f>IF($I78=0,0,VLOOKUP($I78,'Implemente &amp; Waens'!$A:$Z,COLUMN('Implemente &amp; Waens'!I$5),FALSE)*$E$9/100)</f>
        <v>13.25</v>
      </c>
      <c r="BN78" s="414">
        <f>IF($I78=0,0,VLOOKUP($I78,'Implemente &amp; Waens'!$A:$Z,COLUMN('Implemente &amp; Waens'!J$5),FALSE))</f>
        <v>2.4500000000000002</v>
      </c>
      <c r="BO78" s="414">
        <f>IF($I78=0,0,VLOOKUP($I78,'Implemente &amp; Waens'!$A:$Z,COLUMN('Implemente &amp; Waens'!K$5),FALSE)/$G$8*$E$8)</f>
        <v>17</v>
      </c>
      <c r="BP78" s="415">
        <f>SUM(BM78:BO78)</f>
        <v>32.700000000000003</v>
      </c>
      <c r="BQ78" s="416">
        <f>SUM(BL78,BP78)</f>
        <v>43.75</v>
      </c>
    </row>
    <row r="79" spans="2:69">
      <c r="B79" s="427"/>
      <c r="C79" s="731" t="s">
        <v>1213</v>
      </c>
      <c r="D79" s="398">
        <f>Trekkers!$A$29</f>
        <v>29</v>
      </c>
      <c r="E79" s="399">
        <f>IF($D79="",0,VLOOKUP($D79,Trekkers!$A:$U,COLUMN(Trekkers!C$5),FALSE))</f>
        <v>100</v>
      </c>
      <c r="F79" s="399">
        <f>IF($D79="",0,VLOOKUP($D79,Trekkers!$A:$U,COLUMN(Trekkers!D$5),FALSE))</f>
        <v>134.10220895950283</v>
      </c>
      <c r="G79" s="399" t="str">
        <f>IF($D79="",0,VLOOKUP($D79,Trekkers!$A:$U,COLUMN(Trekkers!E$5),FALSE))</f>
        <v>2W</v>
      </c>
      <c r="H79" s="815" t="s">
        <v>133</v>
      </c>
      <c r="I79" s="398">
        <f>'Implemente &amp; Waens'!$A$585</f>
        <v>585</v>
      </c>
      <c r="J79" s="400" t="str">
        <f>IF($I79=0,0,VLOOKUP($I79,'Implemente &amp; Waens'!$A:$Z,COLUMN('Implemente &amp; Waens'!C$5),FALSE))</f>
        <v>Sleepwa : 10 Ton, vier-wiel</v>
      </c>
      <c r="K79" s="728">
        <v>15</v>
      </c>
      <c r="L79" s="730">
        <v>0.9</v>
      </c>
      <c r="M79" s="428">
        <f>IF($L79=0,0,1/K79*100/L79)</f>
        <v>7.4074074074074074</v>
      </c>
      <c r="N79" s="733">
        <v>7</v>
      </c>
      <c r="O79" s="401"/>
      <c r="P79" s="915">
        <f t="shared" ref="P79:P87" si="159">$AU79-$AM79-$AS79*100%-$AQ79*50%</f>
        <v>1.5910052910052916</v>
      </c>
      <c r="Q79" s="915">
        <f t="shared" ref="Q79:Q87" si="160">$AU79-$AM79-$AS79*100%-$AQ79*0%</f>
        <v>2.0539682539682547</v>
      </c>
      <c r="R79" s="915">
        <f t="shared" ref="R79:R87" si="161">$AU79-$AM79-$AS79*50%-$AQ79*0%</f>
        <v>2.4801587301587307</v>
      </c>
      <c r="S79" s="923">
        <f t="shared" ref="S79:S87" si="162">$AU79-$AM79-$AS79*0%-$AQ79*0%</f>
        <v>2.9063492063492071</v>
      </c>
      <c r="T79" s="917">
        <f t="shared" ref="T79:T80" si="163">AL79</f>
        <v>0.16666666666666669</v>
      </c>
      <c r="U79" s="919">
        <f t="shared" ref="U79:U80" si="164">AM79</f>
        <v>2.0500000000000003</v>
      </c>
      <c r="V79" s="923">
        <f t="shared" ref="V79:V81" si="165">S79+U79</f>
        <v>4.9563492063492074</v>
      </c>
      <c r="X79" s="404">
        <f>BB79</f>
        <v>276.22500000000002</v>
      </c>
      <c r="Y79" s="405">
        <f t="shared" si="147"/>
        <v>148.4</v>
      </c>
      <c r="Z79" s="419">
        <f t="shared" si="147"/>
        <v>424.625</v>
      </c>
      <c r="AA79" s="404">
        <f>BL79</f>
        <v>11.05</v>
      </c>
      <c r="AB79" s="405">
        <f t="shared" si="148"/>
        <v>32.700000000000003</v>
      </c>
      <c r="AC79" s="407">
        <f t="shared" si="148"/>
        <v>43.75</v>
      </c>
      <c r="AD79" s="408">
        <f t="shared" si="149"/>
        <v>274.64999999999998</v>
      </c>
      <c r="AE79" s="409">
        <f>SUM(Z79,AC79)</f>
        <v>468.375</v>
      </c>
      <c r="AF79" s="410">
        <f t="shared" si="150"/>
        <v>13.5</v>
      </c>
      <c r="AG79" s="411">
        <f t="shared" si="151"/>
        <v>2.9063492063492071</v>
      </c>
      <c r="AH79" s="412">
        <f>AU79</f>
        <v>4.9563492063492074</v>
      </c>
      <c r="AJ79" s="765">
        <v>1</v>
      </c>
      <c r="AL79" s="413">
        <f t="shared" si="152"/>
        <v>0.16666666666666669</v>
      </c>
      <c r="AM79" s="414">
        <f t="shared" si="153"/>
        <v>2.0500000000000003</v>
      </c>
      <c r="AN79" s="414">
        <f t="shared" si="154"/>
        <v>0.98994708994708991</v>
      </c>
      <c r="AO79" s="414">
        <f t="shared" si="155"/>
        <v>0</v>
      </c>
      <c r="AP79" s="415">
        <f t="shared" ref="AP79:AP87" si="166">SUM(AM79:AO79)</f>
        <v>3.0399470899470904</v>
      </c>
      <c r="AQ79" s="414">
        <f t="shared" si="156"/>
        <v>0.92592592592592593</v>
      </c>
      <c r="AR79" s="414">
        <f t="shared" si="157"/>
        <v>0.1380952380952381</v>
      </c>
      <c r="AS79" s="414">
        <f t="shared" si="158"/>
        <v>0.85238095238095257</v>
      </c>
      <c r="AT79" s="415">
        <f t="shared" ref="AT79:AT87" si="167">SUM(AQ79:AS79)</f>
        <v>1.9164021164021166</v>
      </c>
      <c r="AU79" s="416">
        <f t="shared" ref="AU79:AU87" si="168">AP79+AT79</f>
        <v>4.9563492063492074</v>
      </c>
      <c r="AV79" s="417"/>
      <c r="AW79" s="418">
        <f t="shared" si="143"/>
        <v>29</v>
      </c>
      <c r="AX79" s="413">
        <f>IF(D79="",0,E79*VLOOKUP(H79,Trekkers!$E$141:$L$143,COLUMNS(Trekkers!$E$141:$L$141),FALSE)*AJ79)</f>
        <v>15.75</v>
      </c>
      <c r="AY79" s="414">
        <f t="shared" ref="AY79:AY87" si="169">AX79*$E$7</f>
        <v>193.72500000000002</v>
      </c>
      <c r="AZ79" s="414">
        <f>IF(D79="",0,VLOOKUP($D79,Trekkers!$A:$V,COLUMN(Trekkers!$K$5),FALSE))</f>
        <v>82.5</v>
      </c>
      <c r="BA79" s="414">
        <f>0</f>
        <v>0</v>
      </c>
      <c r="BB79" s="415">
        <f t="shared" ref="BB79:BB87" si="170">SUM(AY79:BA79)</f>
        <v>276.22500000000002</v>
      </c>
      <c r="BC79" s="414">
        <f>IF($D79="",0,VLOOKUP($D79,Trekkers!$A:$V,COLUMN(Trekkers!$G$5),FALSE)*$E$9/100)</f>
        <v>74.25</v>
      </c>
      <c r="BD79" s="414">
        <f>IF($D79="",0,VLOOKUP($D79,Trekkers!$A:$V,COLUMN(Trekkers!$H$5),FALSE))</f>
        <v>10.600000000000001</v>
      </c>
      <c r="BE79" s="414">
        <f>IF($D79="",0,VLOOKUP($D79,Trekkers!$A:$V,COLUMN(Trekkers!$I$5),FALSE)/$G$8*$E$8)</f>
        <v>63.550000000000004</v>
      </c>
      <c r="BF79" s="415">
        <f t="shared" ref="BF79:BF87" si="171">SUM(BC79:BE79)</f>
        <v>148.4</v>
      </c>
      <c r="BG79" s="416">
        <f t="shared" ref="BG79:BG87" si="172">BB79+BF79</f>
        <v>424.625</v>
      </c>
      <c r="BH79" s="417"/>
      <c r="BI79" s="418">
        <f t="shared" si="145"/>
        <v>585</v>
      </c>
      <c r="BJ79" s="414">
        <f>IF($I79=0,0,VLOOKUP($I79,'Implemente &amp; Waens'!$A:$Z,COLUMN('Implemente &amp; Waens'!M$5),FALSE))</f>
        <v>11.05</v>
      </c>
      <c r="BK79" s="414">
        <f>IF($I79=0,0,VLOOKUP($I79,'Implemente &amp; Waens'!$A:$Z,COLUMN('Implemente &amp; Waens'!N$5),FALSE))</f>
        <v>0</v>
      </c>
      <c r="BL79" s="415">
        <f t="shared" ref="BL79:BL87" si="173">SUM(BJ79:BK79)</f>
        <v>11.05</v>
      </c>
      <c r="BM79" s="414">
        <f>IF($I79=0,0,VLOOKUP($I79,'Implemente &amp; Waens'!$A:$Z,COLUMN('Implemente &amp; Waens'!I$5),FALSE)*$E$9/100)</f>
        <v>13.25</v>
      </c>
      <c r="BN79" s="414">
        <f>IF($I79=0,0,VLOOKUP($I79,'Implemente &amp; Waens'!$A:$Z,COLUMN('Implemente &amp; Waens'!J$5),FALSE))</f>
        <v>2.4500000000000002</v>
      </c>
      <c r="BO79" s="414">
        <f>IF($I79=0,0,VLOOKUP($I79,'Implemente &amp; Waens'!$A:$Z,COLUMN('Implemente &amp; Waens'!K$5),FALSE)/$G$8*$E$8)</f>
        <v>17</v>
      </c>
      <c r="BP79" s="415">
        <f t="shared" ref="BP79:BP87" si="174">SUM(BM79:BO79)</f>
        <v>32.700000000000003</v>
      </c>
      <c r="BQ79" s="416">
        <f t="shared" ref="BQ79:BQ87" si="175">SUM(BL79,BP79)</f>
        <v>43.75</v>
      </c>
    </row>
    <row r="80" spans="2:69">
      <c r="B80" s="427"/>
      <c r="C80" s="731" t="s">
        <v>1214</v>
      </c>
      <c r="D80" s="398"/>
      <c r="E80" s="399"/>
      <c r="F80" s="399"/>
      <c r="G80" s="399"/>
      <c r="H80" s="815"/>
      <c r="I80" s="398">
        <f>'Implemente &amp; Waens'!$A$615</f>
        <v>615</v>
      </c>
      <c r="J80" s="400" t="str">
        <f>IF($I80=0,0,VLOOKUP($I80,'Implemente &amp; Waens'!$A:$Z,COLUMN('Implemente &amp; Waens'!C$5),FALSE))</f>
        <v>Massabakke x3 : 6.0ton gars / 7.5ton koring</v>
      </c>
      <c r="K80" s="728">
        <v>15</v>
      </c>
      <c r="L80" s="730">
        <v>0.9</v>
      </c>
      <c r="M80" s="428">
        <f>IF($L80=0,0,1/K80*100/L80)</f>
        <v>7.4074074074074074</v>
      </c>
      <c r="N80" s="733">
        <v>7</v>
      </c>
      <c r="O80" s="401"/>
      <c r="P80" s="915">
        <f t="shared" si="159"/>
        <v>8.6243386243386247E-2</v>
      </c>
      <c r="Q80" s="915">
        <f t="shared" si="160"/>
        <v>0.11164021164021165</v>
      </c>
      <c r="R80" s="915">
        <f t="shared" si="161"/>
        <v>0.17671957671957672</v>
      </c>
      <c r="S80" s="923">
        <f t="shared" si="162"/>
        <v>0.24179894179894182</v>
      </c>
      <c r="T80" s="917">
        <f t="shared" si="163"/>
        <v>0</v>
      </c>
      <c r="U80" s="919">
        <f t="shared" si="164"/>
        <v>0</v>
      </c>
      <c r="V80" s="923">
        <f t="shared" si="165"/>
        <v>0.24179894179894182</v>
      </c>
      <c r="X80" s="404">
        <f>BB80</f>
        <v>0</v>
      </c>
      <c r="Y80" s="405">
        <f t="shared" si="147"/>
        <v>0</v>
      </c>
      <c r="Z80" s="406">
        <f t="shared" si="147"/>
        <v>0</v>
      </c>
      <c r="AA80" s="404">
        <f>BL80</f>
        <v>4</v>
      </c>
      <c r="AB80" s="405">
        <f t="shared" si="148"/>
        <v>18.850000000000001</v>
      </c>
      <c r="AC80" s="407">
        <f t="shared" si="148"/>
        <v>22.85</v>
      </c>
      <c r="AD80" s="408">
        <f t="shared" si="149"/>
        <v>22.85</v>
      </c>
      <c r="AE80" s="409">
        <f>SUM(Z80,AC80)</f>
        <v>22.85</v>
      </c>
      <c r="AF80" s="410">
        <f t="shared" si="150"/>
        <v>13.5</v>
      </c>
      <c r="AG80" s="411">
        <f t="shared" si="151"/>
        <v>0.24179894179894182</v>
      </c>
      <c r="AH80" s="412">
        <f>AU80</f>
        <v>0.24179894179894182</v>
      </c>
      <c r="AJ80" s="765">
        <v>1</v>
      </c>
      <c r="AL80" s="413">
        <f t="shared" si="152"/>
        <v>0</v>
      </c>
      <c r="AM80" s="414">
        <f t="shared" si="153"/>
        <v>0</v>
      </c>
      <c r="AN80" s="414">
        <f t="shared" si="154"/>
        <v>4.2328042328042326E-2</v>
      </c>
      <c r="AO80" s="414">
        <f t="shared" si="155"/>
        <v>0</v>
      </c>
      <c r="AP80" s="415">
        <f t="shared" si="166"/>
        <v>4.2328042328042326E-2</v>
      </c>
      <c r="AQ80" s="414">
        <f t="shared" si="156"/>
        <v>5.0793650793650801E-2</v>
      </c>
      <c r="AR80" s="414">
        <f t="shared" si="157"/>
        <v>1.8518518518518517E-2</v>
      </c>
      <c r="AS80" s="414">
        <f t="shared" si="158"/>
        <v>0.13015873015873017</v>
      </c>
      <c r="AT80" s="415">
        <f t="shared" si="167"/>
        <v>0.19947089947089949</v>
      </c>
      <c r="AU80" s="416">
        <f t="shared" si="168"/>
        <v>0.24179894179894182</v>
      </c>
      <c r="AV80" s="417"/>
      <c r="AW80" s="418">
        <f t="shared" si="143"/>
        <v>0</v>
      </c>
      <c r="AX80" s="413">
        <f>IF(D80="",0,E80*VLOOKUP(H80,Trekkers!$E$141:$L$143,COLUMNS(Trekkers!$E$141:$L$141),FALSE)*AJ80)</f>
        <v>0</v>
      </c>
      <c r="AY80" s="414">
        <f t="shared" si="169"/>
        <v>0</v>
      </c>
      <c r="AZ80" s="414">
        <f>IF(D80="",0,VLOOKUP($D80,Trekkers!$A:$V,COLUMN(Trekkers!$K$5),FALSE))</f>
        <v>0</v>
      </c>
      <c r="BA80" s="414">
        <f>0</f>
        <v>0</v>
      </c>
      <c r="BB80" s="415">
        <f t="shared" si="170"/>
        <v>0</v>
      </c>
      <c r="BC80" s="414">
        <f>IF($D80="",0,VLOOKUP($D80,Trekkers!$A:$V,COLUMN(Trekkers!$G$5),FALSE)*$E$9/100)</f>
        <v>0</v>
      </c>
      <c r="BD80" s="414">
        <f>IF($D80="",0,VLOOKUP($D80,Trekkers!$A:$V,COLUMN(Trekkers!$H$5),FALSE))</f>
        <v>0</v>
      </c>
      <c r="BE80" s="414">
        <f>IF($D80="",0,VLOOKUP($D80,Trekkers!$A:$V,COLUMN(Trekkers!$I$5),FALSE)/$G$8*$E$8)</f>
        <v>0</v>
      </c>
      <c r="BF80" s="415">
        <f t="shared" si="171"/>
        <v>0</v>
      </c>
      <c r="BG80" s="416">
        <f t="shared" si="172"/>
        <v>0</v>
      </c>
      <c r="BH80" s="417"/>
      <c r="BI80" s="418">
        <f t="shared" si="145"/>
        <v>615</v>
      </c>
      <c r="BJ80" s="414">
        <f>IF($I80=0,0,VLOOKUP($I80,'Implemente &amp; Waens'!$A:$Z,COLUMN('Implemente &amp; Waens'!M$5),FALSE))</f>
        <v>4</v>
      </c>
      <c r="BK80" s="414">
        <f>IF($I80=0,0,VLOOKUP($I80,'Implemente &amp; Waens'!$A:$Z,COLUMN('Implemente &amp; Waens'!N$5),FALSE))</f>
        <v>0</v>
      </c>
      <c r="BL80" s="415">
        <f t="shared" si="173"/>
        <v>4</v>
      </c>
      <c r="BM80" s="414">
        <f>IF($I80=0,0,VLOOKUP($I80,'Implemente &amp; Waens'!$A:$Z,COLUMN('Implemente &amp; Waens'!I$5),FALSE)*$E$9/100)</f>
        <v>4.8000000000000007</v>
      </c>
      <c r="BN80" s="414">
        <f>IF($I80=0,0,VLOOKUP($I80,'Implemente &amp; Waens'!$A:$Z,COLUMN('Implemente &amp; Waens'!J$5),FALSE))</f>
        <v>1.75</v>
      </c>
      <c r="BO80" s="414">
        <f>IF($I80=0,0,VLOOKUP($I80,'Implemente &amp; Waens'!$A:$Z,COLUMN('Implemente &amp; Waens'!K$5),FALSE)/$G$8*$E$8)</f>
        <v>12.3</v>
      </c>
      <c r="BP80" s="415">
        <f t="shared" si="174"/>
        <v>18.850000000000001</v>
      </c>
      <c r="BQ80" s="416">
        <f t="shared" si="175"/>
        <v>22.85</v>
      </c>
    </row>
    <row r="81" spans="2:69">
      <c r="B81" s="427"/>
      <c r="C81" s="731"/>
      <c r="D81" s="398"/>
      <c r="E81" s="399"/>
      <c r="F81" s="399"/>
      <c r="G81" s="399"/>
      <c r="H81" s="815"/>
      <c r="I81" s="398"/>
      <c r="J81" s="400">
        <f>IF($I81=0,0,VLOOKUP($I81,'Implemente &amp; Waens'!$A:$Z,COLUMN('Implemente &amp; Waens'!C$5),FALSE))</f>
        <v>0</v>
      </c>
      <c r="K81" s="728"/>
      <c r="L81" s="730"/>
      <c r="M81" s="428">
        <f t="shared" ref="M81:M87" si="176">IF($L81=0,0,1/K81*100/L81)</f>
        <v>0</v>
      </c>
      <c r="N81" s="733">
        <v>0</v>
      </c>
      <c r="O81" s="401"/>
      <c r="P81" s="915">
        <f t="shared" si="159"/>
        <v>0</v>
      </c>
      <c r="Q81" s="915">
        <f t="shared" si="160"/>
        <v>0</v>
      </c>
      <c r="R81" s="915">
        <f t="shared" si="161"/>
        <v>0</v>
      </c>
      <c r="S81" s="923">
        <f t="shared" si="162"/>
        <v>0</v>
      </c>
      <c r="T81" s="917">
        <f t="shared" ref="T81:T87" si="177">AL81</f>
        <v>0</v>
      </c>
      <c r="U81" s="919">
        <f t="shared" ref="U81:U87" si="178">AM81</f>
        <v>0</v>
      </c>
      <c r="V81" s="923">
        <f t="shared" si="165"/>
        <v>0</v>
      </c>
      <c r="X81" s="404">
        <f t="shared" ref="X81:X87" si="179">BB81</f>
        <v>0</v>
      </c>
      <c r="Y81" s="405">
        <f t="shared" si="147"/>
        <v>0</v>
      </c>
      <c r="Z81" s="406">
        <f t="shared" si="147"/>
        <v>0</v>
      </c>
      <c r="AA81" s="404">
        <f t="shared" ref="AA81:AA87" si="180">BL81</f>
        <v>0</v>
      </c>
      <c r="AB81" s="405">
        <f t="shared" si="148"/>
        <v>0</v>
      </c>
      <c r="AC81" s="407">
        <f t="shared" si="148"/>
        <v>0</v>
      </c>
      <c r="AD81" s="408">
        <f t="shared" si="149"/>
        <v>0</v>
      </c>
      <c r="AE81" s="409">
        <f t="shared" ref="AE81:AE87" si="181">SUM(Z81,AC81)</f>
        <v>0</v>
      </c>
      <c r="AF81" s="410">
        <f t="shared" si="150"/>
        <v>0</v>
      </c>
      <c r="AG81" s="411">
        <f t="shared" si="151"/>
        <v>0</v>
      </c>
      <c r="AH81" s="412">
        <f t="shared" ref="AH81:AH87" si="182">AU81</f>
        <v>0</v>
      </c>
      <c r="AJ81" s="765">
        <v>1</v>
      </c>
      <c r="AL81" s="413">
        <f t="shared" si="152"/>
        <v>0</v>
      </c>
      <c r="AM81" s="414">
        <f t="shared" si="153"/>
        <v>0</v>
      </c>
      <c r="AN81" s="414">
        <f t="shared" si="154"/>
        <v>0</v>
      </c>
      <c r="AO81" s="414">
        <f t="shared" si="155"/>
        <v>0</v>
      </c>
      <c r="AP81" s="415">
        <f t="shared" si="166"/>
        <v>0</v>
      </c>
      <c r="AQ81" s="414">
        <f t="shared" si="156"/>
        <v>0</v>
      </c>
      <c r="AR81" s="414">
        <f t="shared" si="157"/>
        <v>0</v>
      </c>
      <c r="AS81" s="414">
        <f t="shared" si="158"/>
        <v>0</v>
      </c>
      <c r="AT81" s="415">
        <f t="shared" si="167"/>
        <v>0</v>
      </c>
      <c r="AU81" s="416">
        <f t="shared" si="168"/>
        <v>0</v>
      </c>
      <c r="AV81" s="417"/>
      <c r="AW81" s="418">
        <f t="shared" si="143"/>
        <v>0</v>
      </c>
      <c r="AX81" s="413">
        <f>IF(D81="",0,E81*VLOOKUP(H81,Trekkers!$E$141:$L$143,COLUMNS(Trekkers!$E$141:$L$141),FALSE)*AJ81)</f>
        <v>0</v>
      </c>
      <c r="AY81" s="414">
        <f t="shared" si="169"/>
        <v>0</v>
      </c>
      <c r="AZ81" s="414">
        <f>IF(D81="",0,VLOOKUP($D81,Trekkers!$A:$V,COLUMN(Trekkers!$K$5),FALSE))</f>
        <v>0</v>
      </c>
      <c r="BA81" s="414">
        <f>0</f>
        <v>0</v>
      </c>
      <c r="BB81" s="415">
        <f t="shared" si="170"/>
        <v>0</v>
      </c>
      <c r="BC81" s="414">
        <f>IF($D81="",0,VLOOKUP($D81,Trekkers!$A:$V,COLUMN(Trekkers!$G$5),FALSE)*$E$9/100)</f>
        <v>0</v>
      </c>
      <c r="BD81" s="414">
        <f>IF($D81="",0,VLOOKUP($D81,Trekkers!$A:$V,COLUMN(Trekkers!$H$5),FALSE))</f>
        <v>0</v>
      </c>
      <c r="BE81" s="414">
        <f>IF($D81="",0,VLOOKUP($D81,Trekkers!$A:$V,COLUMN(Trekkers!$I$5),FALSE)/$G$8*$E$8)</f>
        <v>0</v>
      </c>
      <c r="BF81" s="415">
        <f t="shared" si="171"/>
        <v>0</v>
      </c>
      <c r="BG81" s="416">
        <f t="shared" si="172"/>
        <v>0</v>
      </c>
      <c r="BH81" s="417"/>
      <c r="BI81" s="418">
        <f t="shared" si="145"/>
        <v>0</v>
      </c>
      <c r="BJ81" s="414">
        <f>IF($I81=0,0,VLOOKUP($I81,'Implemente &amp; Waens'!$A:$Z,COLUMN('Implemente &amp; Waens'!M$5),FALSE))</f>
        <v>0</v>
      </c>
      <c r="BK81" s="414">
        <f>IF($I81=0,0,VLOOKUP($I81,'Implemente &amp; Waens'!$A:$Z,COLUMN('Implemente &amp; Waens'!N$5),FALSE))</f>
        <v>0</v>
      </c>
      <c r="BL81" s="415">
        <f t="shared" si="173"/>
        <v>0</v>
      </c>
      <c r="BM81" s="414">
        <f>IF($I81=0,0,VLOOKUP($I81,'Implemente &amp; Waens'!$A:$Z,COLUMN('Implemente &amp; Waens'!I$5),FALSE)*$E$9/100)</f>
        <v>0</v>
      </c>
      <c r="BN81" s="414">
        <f>IF($I81=0,0,VLOOKUP($I81,'Implemente &amp; Waens'!$A:$Z,COLUMN('Implemente &amp; Waens'!J$5),FALSE))</f>
        <v>0</v>
      </c>
      <c r="BO81" s="414">
        <f>IF($I81=0,0,VLOOKUP($I81,'Implemente &amp; Waens'!$A:$Z,COLUMN('Implemente &amp; Waens'!K$5),FALSE)/$G$8*$E$8)</f>
        <v>0</v>
      </c>
      <c r="BP81" s="415">
        <f t="shared" si="174"/>
        <v>0</v>
      </c>
      <c r="BQ81" s="416">
        <f t="shared" si="175"/>
        <v>0</v>
      </c>
    </row>
    <row r="82" spans="2:69">
      <c r="B82" s="427"/>
      <c r="C82" s="731"/>
      <c r="D82" s="398"/>
      <c r="E82" s="399"/>
      <c r="F82" s="399"/>
      <c r="G82" s="399"/>
      <c r="H82" s="815"/>
      <c r="I82" s="398"/>
      <c r="J82" s="400">
        <f>IF($I82=0,0,VLOOKUP($I82,'Implemente &amp; Waens'!$A:$Z,COLUMN('Implemente &amp; Waens'!C$5),FALSE))</f>
        <v>0</v>
      </c>
      <c r="K82" s="728"/>
      <c r="L82" s="730"/>
      <c r="M82" s="428">
        <f t="shared" si="176"/>
        <v>0</v>
      </c>
      <c r="N82" s="733">
        <v>0</v>
      </c>
      <c r="O82" s="401"/>
      <c r="P82" s="915">
        <f t="shared" si="159"/>
        <v>0</v>
      </c>
      <c r="Q82" s="915">
        <f t="shared" si="160"/>
        <v>0</v>
      </c>
      <c r="R82" s="915">
        <f t="shared" si="161"/>
        <v>0</v>
      </c>
      <c r="S82" s="923">
        <f t="shared" si="162"/>
        <v>0</v>
      </c>
      <c r="T82" s="917">
        <f t="shared" si="177"/>
        <v>0</v>
      </c>
      <c r="U82" s="919">
        <f t="shared" si="178"/>
        <v>0</v>
      </c>
      <c r="V82" s="923">
        <f t="shared" ref="V82:V87" si="183">$AU82-$AM82-$AS82*0%-$AQ82*0%</f>
        <v>0</v>
      </c>
      <c r="X82" s="404">
        <f t="shared" si="179"/>
        <v>0</v>
      </c>
      <c r="Y82" s="405">
        <f t="shared" si="147"/>
        <v>0</v>
      </c>
      <c r="Z82" s="406">
        <f t="shared" si="147"/>
        <v>0</v>
      </c>
      <c r="AA82" s="404">
        <f t="shared" si="180"/>
        <v>0</v>
      </c>
      <c r="AB82" s="405">
        <f t="shared" si="148"/>
        <v>0</v>
      </c>
      <c r="AC82" s="407">
        <f t="shared" si="148"/>
        <v>0</v>
      </c>
      <c r="AD82" s="408">
        <f t="shared" si="149"/>
        <v>0</v>
      </c>
      <c r="AE82" s="409">
        <f t="shared" si="181"/>
        <v>0</v>
      </c>
      <c r="AF82" s="410">
        <f t="shared" si="150"/>
        <v>0</v>
      </c>
      <c r="AG82" s="411">
        <f t="shared" si="151"/>
        <v>0</v>
      </c>
      <c r="AH82" s="412">
        <f t="shared" si="182"/>
        <v>0</v>
      </c>
      <c r="AJ82" s="765">
        <v>1</v>
      </c>
      <c r="AL82" s="413">
        <f t="shared" si="152"/>
        <v>0</v>
      </c>
      <c r="AM82" s="414">
        <f t="shared" si="153"/>
        <v>0</v>
      </c>
      <c r="AN82" s="414">
        <f t="shared" si="154"/>
        <v>0</v>
      </c>
      <c r="AO82" s="414">
        <f t="shared" si="155"/>
        <v>0</v>
      </c>
      <c r="AP82" s="415">
        <f t="shared" si="166"/>
        <v>0</v>
      </c>
      <c r="AQ82" s="414">
        <f t="shared" si="156"/>
        <v>0</v>
      </c>
      <c r="AR82" s="414">
        <f t="shared" si="157"/>
        <v>0</v>
      </c>
      <c r="AS82" s="414">
        <f t="shared" si="158"/>
        <v>0</v>
      </c>
      <c r="AT82" s="415">
        <f t="shared" si="167"/>
        <v>0</v>
      </c>
      <c r="AU82" s="416">
        <f t="shared" si="168"/>
        <v>0</v>
      </c>
      <c r="AV82" s="417"/>
      <c r="AW82" s="418">
        <f t="shared" si="143"/>
        <v>0</v>
      </c>
      <c r="AX82" s="413">
        <f>IF(D82="",0,E82*VLOOKUP(H82,Trekkers!$E$141:$L$143,COLUMNS(Trekkers!$E$141:$L$141),FALSE)*AJ82)</f>
        <v>0</v>
      </c>
      <c r="AY82" s="414">
        <f t="shared" si="169"/>
        <v>0</v>
      </c>
      <c r="AZ82" s="414">
        <f>IF(D82="",0,VLOOKUP($D82,Trekkers!$A:$V,COLUMN(Trekkers!$K$5),FALSE))</f>
        <v>0</v>
      </c>
      <c r="BA82" s="414">
        <f>0</f>
        <v>0</v>
      </c>
      <c r="BB82" s="415">
        <f t="shared" si="170"/>
        <v>0</v>
      </c>
      <c r="BC82" s="414">
        <f>IF($D82="",0,VLOOKUP($D82,Trekkers!$A:$V,COLUMN(Trekkers!$G$5),FALSE)*$E$9/100)</f>
        <v>0</v>
      </c>
      <c r="BD82" s="414">
        <f>IF($D82="",0,VLOOKUP($D82,Trekkers!$A:$V,COLUMN(Trekkers!$H$5),FALSE))</f>
        <v>0</v>
      </c>
      <c r="BE82" s="414">
        <f>IF($D82="",0,VLOOKUP($D82,Trekkers!$A:$V,COLUMN(Trekkers!$I$5),FALSE)/$G$8*$E$8)</f>
        <v>0</v>
      </c>
      <c r="BF82" s="415">
        <f t="shared" si="171"/>
        <v>0</v>
      </c>
      <c r="BG82" s="416">
        <f t="shared" si="172"/>
        <v>0</v>
      </c>
      <c r="BH82" s="417"/>
      <c r="BI82" s="418">
        <f t="shared" si="145"/>
        <v>0</v>
      </c>
      <c r="BJ82" s="414">
        <f>IF($I82=0,0,VLOOKUP($I82,'Implemente &amp; Waens'!$A:$Z,COLUMN('Implemente &amp; Waens'!M$5),FALSE))</f>
        <v>0</v>
      </c>
      <c r="BK82" s="414">
        <f>IF($I82=0,0,VLOOKUP($I82,'Implemente &amp; Waens'!$A:$Z,COLUMN('Implemente &amp; Waens'!N$5),FALSE))</f>
        <v>0</v>
      </c>
      <c r="BL82" s="415">
        <f t="shared" si="173"/>
        <v>0</v>
      </c>
      <c r="BM82" s="414">
        <f>IF($I82=0,0,VLOOKUP($I82,'Implemente &amp; Waens'!$A:$Z,COLUMN('Implemente &amp; Waens'!I$5),FALSE)*$E$9/100)</f>
        <v>0</v>
      </c>
      <c r="BN82" s="414">
        <f>IF($I82=0,0,VLOOKUP($I82,'Implemente &amp; Waens'!$A:$Z,COLUMN('Implemente &amp; Waens'!J$5),FALSE))</f>
        <v>0</v>
      </c>
      <c r="BO82" s="414">
        <f>IF($I82=0,0,VLOOKUP($I82,'Implemente &amp; Waens'!$A:$Z,COLUMN('Implemente &amp; Waens'!K$5),FALSE)/$G$8*$E$8)</f>
        <v>0</v>
      </c>
      <c r="BP82" s="415">
        <f t="shared" si="174"/>
        <v>0</v>
      </c>
      <c r="BQ82" s="416">
        <f t="shared" si="175"/>
        <v>0</v>
      </c>
    </row>
    <row r="83" spans="2:69">
      <c r="B83" s="427"/>
      <c r="C83" s="731"/>
      <c r="D83" s="398"/>
      <c r="E83" s="399"/>
      <c r="F83" s="399"/>
      <c r="G83" s="399"/>
      <c r="H83" s="815"/>
      <c r="I83" s="398"/>
      <c r="J83" s="400">
        <f>IF($I83=0,0,VLOOKUP($I83,'Implemente &amp; Waens'!$A:$Z,COLUMN('Implemente &amp; Waens'!C$5),FALSE))</f>
        <v>0</v>
      </c>
      <c r="K83" s="728"/>
      <c r="L83" s="730"/>
      <c r="M83" s="428">
        <f t="shared" si="176"/>
        <v>0</v>
      </c>
      <c r="N83" s="733">
        <v>0</v>
      </c>
      <c r="O83" s="401"/>
      <c r="P83" s="915">
        <f t="shared" si="159"/>
        <v>0</v>
      </c>
      <c r="Q83" s="915">
        <f t="shared" si="160"/>
        <v>0</v>
      </c>
      <c r="R83" s="915">
        <f t="shared" si="161"/>
        <v>0</v>
      </c>
      <c r="S83" s="923">
        <f t="shared" si="162"/>
        <v>0</v>
      </c>
      <c r="T83" s="917">
        <f t="shared" si="177"/>
        <v>0</v>
      </c>
      <c r="U83" s="919">
        <f t="shared" si="178"/>
        <v>0</v>
      </c>
      <c r="V83" s="923">
        <f t="shared" si="183"/>
        <v>0</v>
      </c>
      <c r="X83" s="404">
        <f t="shared" si="179"/>
        <v>0</v>
      </c>
      <c r="Y83" s="405">
        <f t="shared" si="147"/>
        <v>0</v>
      </c>
      <c r="Z83" s="406">
        <f t="shared" si="147"/>
        <v>0</v>
      </c>
      <c r="AA83" s="404">
        <f t="shared" si="180"/>
        <v>0</v>
      </c>
      <c r="AB83" s="405">
        <f t="shared" si="148"/>
        <v>0</v>
      </c>
      <c r="AC83" s="407">
        <f t="shared" si="148"/>
        <v>0</v>
      </c>
      <c r="AD83" s="408">
        <f t="shared" si="149"/>
        <v>0</v>
      </c>
      <c r="AE83" s="409">
        <f t="shared" si="181"/>
        <v>0</v>
      </c>
      <c r="AF83" s="410">
        <f t="shared" si="150"/>
        <v>0</v>
      </c>
      <c r="AG83" s="411">
        <f t="shared" si="151"/>
        <v>0</v>
      </c>
      <c r="AH83" s="412">
        <f t="shared" si="182"/>
        <v>0</v>
      </c>
      <c r="AJ83" s="765">
        <v>1</v>
      </c>
      <c r="AL83" s="413">
        <f t="shared" si="152"/>
        <v>0</v>
      </c>
      <c r="AM83" s="414">
        <f t="shared" si="153"/>
        <v>0</v>
      </c>
      <c r="AN83" s="414">
        <f t="shared" si="154"/>
        <v>0</v>
      </c>
      <c r="AO83" s="414">
        <f t="shared" si="155"/>
        <v>0</v>
      </c>
      <c r="AP83" s="415">
        <f t="shared" si="166"/>
        <v>0</v>
      </c>
      <c r="AQ83" s="414">
        <f t="shared" si="156"/>
        <v>0</v>
      </c>
      <c r="AR83" s="414">
        <f t="shared" si="157"/>
        <v>0</v>
      </c>
      <c r="AS83" s="414">
        <f t="shared" si="158"/>
        <v>0</v>
      </c>
      <c r="AT83" s="415">
        <f t="shared" si="167"/>
        <v>0</v>
      </c>
      <c r="AU83" s="416">
        <f t="shared" si="168"/>
        <v>0</v>
      </c>
      <c r="AV83" s="417"/>
      <c r="AW83" s="418">
        <f t="shared" si="143"/>
        <v>0</v>
      </c>
      <c r="AX83" s="413">
        <f>IF(D83="",0,E83*VLOOKUP(H83,Trekkers!$E$141:$L$143,COLUMNS(Trekkers!$E$141:$L$141),FALSE)*AJ83)</f>
        <v>0</v>
      </c>
      <c r="AY83" s="414">
        <f t="shared" si="169"/>
        <v>0</v>
      </c>
      <c r="AZ83" s="414">
        <f>IF(D83="",0,VLOOKUP($D83,Trekkers!$A:$V,COLUMN(Trekkers!$K$5),FALSE))</f>
        <v>0</v>
      </c>
      <c r="BA83" s="414">
        <f>0</f>
        <v>0</v>
      </c>
      <c r="BB83" s="415">
        <f t="shared" si="170"/>
        <v>0</v>
      </c>
      <c r="BC83" s="414">
        <f>IF($D83="",0,VLOOKUP($D83,Trekkers!$A:$V,COLUMN(Trekkers!$G$5),FALSE)*$E$9/100)</f>
        <v>0</v>
      </c>
      <c r="BD83" s="414">
        <f>IF($D83="",0,VLOOKUP($D83,Trekkers!$A:$V,COLUMN(Trekkers!$H$5),FALSE))</f>
        <v>0</v>
      </c>
      <c r="BE83" s="414">
        <f>IF($D83="",0,VLOOKUP($D83,Trekkers!$A:$V,COLUMN(Trekkers!$I$5),FALSE)/$G$8*$E$8)</f>
        <v>0</v>
      </c>
      <c r="BF83" s="415">
        <f t="shared" si="171"/>
        <v>0</v>
      </c>
      <c r="BG83" s="416">
        <f t="shared" si="172"/>
        <v>0</v>
      </c>
      <c r="BH83" s="417"/>
      <c r="BI83" s="418">
        <f t="shared" si="145"/>
        <v>0</v>
      </c>
      <c r="BJ83" s="414">
        <f>IF($I83=0,0,VLOOKUP($I83,'Implemente &amp; Waens'!$A:$Z,COLUMN('Implemente &amp; Waens'!M$5),FALSE))</f>
        <v>0</v>
      </c>
      <c r="BK83" s="414">
        <f>IF($I83=0,0,VLOOKUP($I83,'Implemente &amp; Waens'!$A:$Z,COLUMN('Implemente &amp; Waens'!N$5),FALSE))</f>
        <v>0</v>
      </c>
      <c r="BL83" s="415">
        <f t="shared" si="173"/>
        <v>0</v>
      </c>
      <c r="BM83" s="414">
        <f>IF($I83=0,0,VLOOKUP($I83,'Implemente &amp; Waens'!$A:$Z,COLUMN('Implemente &amp; Waens'!I$5),FALSE)*$E$9/100)</f>
        <v>0</v>
      </c>
      <c r="BN83" s="414">
        <f>IF($I83=0,0,VLOOKUP($I83,'Implemente &amp; Waens'!$A:$Z,COLUMN('Implemente &amp; Waens'!J$5),FALSE))</f>
        <v>0</v>
      </c>
      <c r="BO83" s="414">
        <f>IF($I83=0,0,VLOOKUP($I83,'Implemente &amp; Waens'!$A:$Z,COLUMN('Implemente &amp; Waens'!K$5),FALSE)/$G$8*$E$8)</f>
        <v>0</v>
      </c>
      <c r="BP83" s="415">
        <f t="shared" si="174"/>
        <v>0</v>
      </c>
      <c r="BQ83" s="416">
        <f t="shared" si="175"/>
        <v>0</v>
      </c>
    </row>
    <row r="84" spans="2:69">
      <c r="B84" s="427"/>
      <c r="C84" s="731"/>
      <c r="D84" s="398"/>
      <c r="E84" s="399"/>
      <c r="F84" s="399"/>
      <c r="G84" s="399"/>
      <c r="H84" s="815"/>
      <c r="I84" s="398"/>
      <c r="J84" s="400">
        <f>IF($I84=0,0,VLOOKUP($I84,'Implemente &amp; Waens'!$A:$Z,COLUMN('Implemente &amp; Waens'!C$5),FALSE))</f>
        <v>0</v>
      </c>
      <c r="K84" s="728"/>
      <c r="L84" s="730"/>
      <c r="M84" s="428">
        <f t="shared" si="176"/>
        <v>0</v>
      </c>
      <c r="N84" s="733">
        <v>0</v>
      </c>
      <c r="O84" s="401"/>
      <c r="P84" s="915">
        <f t="shared" si="159"/>
        <v>0</v>
      </c>
      <c r="Q84" s="915">
        <f t="shared" si="160"/>
        <v>0</v>
      </c>
      <c r="R84" s="915">
        <f t="shared" si="161"/>
        <v>0</v>
      </c>
      <c r="S84" s="923">
        <f t="shared" si="162"/>
        <v>0</v>
      </c>
      <c r="T84" s="917">
        <f t="shared" si="177"/>
        <v>0</v>
      </c>
      <c r="U84" s="919">
        <f t="shared" si="178"/>
        <v>0</v>
      </c>
      <c r="V84" s="923">
        <f t="shared" si="183"/>
        <v>0</v>
      </c>
      <c r="X84" s="404">
        <f t="shared" si="179"/>
        <v>0</v>
      </c>
      <c r="Y84" s="405">
        <f t="shared" si="147"/>
        <v>0</v>
      </c>
      <c r="Z84" s="406">
        <f t="shared" si="147"/>
        <v>0</v>
      </c>
      <c r="AA84" s="404">
        <f t="shared" si="180"/>
        <v>0</v>
      </c>
      <c r="AB84" s="405">
        <f t="shared" si="148"/>
        <v>0</v>
      </c>
      <c r="AC84" s="407">
        <f t="shared" si="148"/>
        <v>0</v>
      </c>
      <c r="AD84" s="408">
        <f t="shared" si="149"/>
        <v>0</v>
      </c>
      <c r="AE84" s="409">
        <f t="shared" si="181"/>
        <v>0</v>
      </c>
      <c r="AF84" s="410">
        <f t="shared" si="150"/>
        <v>0</v>
      </c>
      <c r="AG84" s="411">
        <f t="shared" si="151"/>
        <v>0</v>
      </c>
      <c r="AH84" s="412">
        <f t="shared" si="182"/>
        <v>0</v>
      </c>
      <c r="AJ84" s="765">
        <v>1</v>
      </c>
      <c r="AL84" s="413">
        <f t="shared" si="152"/>
        <v>0</v>
      </c>
      <c r="AM84" s="414">
        <f t="shared" si="153"/>
        <v>0</v>
      </c>
      <c r="AN84" s="414">
        <f t="shared" si="154"/>
        <v>0</v>
      </c>
      <c r="AO84" s="414">
        <f t="shared" si="155"/>
        <v>0</v>
      </c>
      <c r="AP84" s="415">
        <f t="shared" si="166"/>
        <v>0</v>
      </c>
      <c r="AQ84" s="414">
        <f t="shared" si="156"/>
        <v>0</v>
      </c>
      <c r="AR84" s="414">
        <f t="shared" si="157"/>
        <v>0</v>
      </c>
      <c r="AS84" s="414">
        <f t="shared" si="158"/>
        <v>0</v>
      </c>
      <c r="AT84" s="415">
        <f t="shared" si="167"/>
        <v>0</v>
      </c>
      <c r="AU84" s="416">
        <f t="shared" si="168"/>
        <v>0</v>
      </c>
      <c r="AV84" s="417"/>
      <c r="AW84" s="418">
        <f t="shared" si="143"/>
        <v>0</v>
      </c>
      <c r="AX84" s="413">
        <f>IF(D84="",0,E84*VLOOKUP(H84,Trekkers!$E$141:$L$143,COLUMNS(Trekkers!$E$141:$L$141),FALSE)*AJ84)</f>
        <v>0</v>
      </c>
      <c r="AY84" s="414">
        <f t="shared" si="169"/>
        <v>0</v>
      </c>
      <c r="AZ84" s="414">
        <f>IF(D84="",0,VLOOKUP($D84,Trekkers!$A:$V,COLUMN(Trekkers!$K$5),FALSE))</f>
        <v>0</v>
      </c>
      <c r="BA84" s="414">
        <f>0</f>
        <v>0</v>
      </c>
      <c r="BB84" s="415">
        <f t="shared" si="170"/>
        <v>0</v>
      </c>
      <c r="BC84" s="414">
        <f>IF($D84="",0,VLOOKUP($D84,Trekkers!$A:$V,COLUMN(Trekkers!$G$5),FALSE)*$E$9/100)</f>
        <v>0</v>
      </c>
      <c r="BD84" s="414">
        <f>IF($D84="",0,VLOOKUP($D84,Trekkers!$A:$V,COLUMN(Trekkers!$H$5),FALSE))</f>
        <v>0</v>
      </c>
      <c r="BE84" s="414">
        <f>IF($D84="",0,VLOOKUP($D84,Trekkers!$A:$V,COLUMN(Trekkers!$I$5),FALSE)/$G$8*$E$8)</f>
        <v>0</v>
      </c>
      <c r="BF84" s="415">
        <f t="shared" si="171"/>
        <v>0</v>
      </c>
      <c r="BG84" s="416">
        <f t="shared" si="172"/>
        <v>0</v>
      </c>
      <c r="BH84" s="417"/>
      <c r="BI84" s="418">
        <f t="shared" si="145"/>
        <v>0</v>
      </c>
      <c r="BJ84" s="414">
        <f>IF($I84=0,0,VLOOKUP($I84,'Implemente &amp; Waens'!$A:$Z,COLUMN('Implemente &amp; Waens'!M$5),FALSE))</f>
        <v>0</v>
      </c>
      <c r="BK84" s="414">
        <f>IF($I84=0,0,VLOOKUP($I84,'Implemente &amp; Waens'!$A:$Z,COLUMN('Implemente &amp; Waens'!N$5),FALSE))</f>
        <v>0</v>
      </c>
      <c r="BL84" s="415">
        <f t="shared" si="173"/>
        <v>0</v>
      </c>
      <c r="BM84" s="414">
        <f>IF($I84=0,0,VLOOKUP($I84,'Implemente &amp; Waens'!$A:$Z,COLUMN('Implemente &amp; Waens'!I$5),FALSE)*$E$9/100)</f>
        <v>0</v>
      </c>
      <c r="BN84" s="414">
        <f>IF($I84=0,0,VLOOKUP($I84,'Implemente &amp; Waens'!$A:$Z,COLUMN('Implemente &amp; Waens'!J$5),FALSE))</f>
        <v>0</v>
      </c>
      <c r="BO84" s="414">
        <f>IF($I84=0,0,VLOOKUP($I84,'Implemente &amp; Waens'!$A:$Z,COLUMN('Implemente &amp; Waens'!K$5),FALSE)/$G$8*$E$8)</f>
        <v>0</v>
      </c>
      <c r="BP84" s="415">
        <f t="shared" si="174"/>
        <v>0</v>
      </c>
      <c r="BQ84" s="416">
        <f t="shared" si="175"/>
        <v>0</v>
      </c>
    </row>
    <row r="85" spans="2:69">
      <c r="B85" s="427"/>
      <c r="C85" s="731"/>
      <c r="D85" s="398"/>
      <c r="E85" s="399"/>
      <c r="F85" s="399"/>
      <c r="G85" s="399"/>
      <c r="H85" s="815"/>
      <c r="I85" s="398"/>
      <c r="J85" s="400">
        <f>IF($I85=0,0,VLOOKUP($I85,'Implemente &amp; Waens'!$A:$Z,COLUMN('Implemente &amp; Waens'!C$5),FALSE))</f>
        <v>0</v>
      </c>
      <c r="K85" s="728"/>
      <c r="L85" s="730"/>
      <c r="M85" s="428">
        <f t="shared" si="176"/>
        <v>0</v>
      </c>
      <c r="N85" s="733">
        <v>0</v>
      </c>
      <c r="O85" s="401"/>
      <c r="P85" s="915">
        <f t="shared" si="159"/>
        <v>0</v>
      </c>
      <c r="Q85" s="915">
        <f t="shared" si="160"/>
        <v>0</v>
      </c>
      <c r="R85" s="915">
        <f t="shared" si="161"/>
        <v>0</v>
      </c>
      <c r="S85" s="923">
        <f t="shared" si="162"/>
        <v>0</v>
      </c>
      <c r="T85" s="917">
        <f t="shared" si="177"/>
        <v>0</v>
      </c>
      <c r="U85" s="919">
        <f t="shared" si="178"/>
        <v>0</v>
      </c>
      <c r="V85" s="923">
        <f t="shared" si="183"/>
        <v>0</v>
      </c>
      <c r="X85" s="404">
        <f t="shared" si="179"/>
        <v>0</v>
      </c>
      <c r="Y85" s="405">
        <f t="shared" si="147"/>
        <v>0</v>
      </c>
      <c r="Z85" s="406">
        <f t="shared" si="147"/>
        <v>0</v>
      </c>
      <c r="AA85" s="404">
        <f t="shared" si="180"/>
        <v>0</v>
      </c>
      <c r="AB85" s="405">
        <f t="shared" si="148"/>
        <v>0</v>
      </c>
      <c r="AC85" s="407">
        <f t="shared" si="148"/>
        <v>0</v>
      </c>
      <c r="AD85" s="408">
        <f t="shared" si="149"/>
        <v>0</v>
      </c>
      <c r="AE85" s="409">
        <f t="shared" si="181"/>
        <v>0</v>
      </c>
      <c r="AF85" s="410">
        <f t="shared" si="150"/>
        <v>0</v>
      </c>
      <c r="AG85" s="411">
        <f t="shared" si="151"/>
        <v>0</v>
      </c>
      <c r="AH85" s="412">
        <f t="shared" si="182"/>
        <v>0</v>
      </c>
      <c r="AJ85" s="765">
        <v>1</v>
      </c>
      <c r="AL85" s="413">
        <f t="shared" si="152"/>
        <v>0</v>
      </c>
      <c r="AM85" s="414">
        <f t="shared" si="153"/>
        <v>0</v>
      </c>
      <c r="AN85" s="414">
        <f t="shared" si="154"/>
        <v>0</v>
      </c>
      <c r="AO85" s="414">
        <f t="shared" si="155"/>
        <v>0</v>
      </c>
      <c r="AP85" s="415">
        <f t="shared" si="166"/>
        <v>0</v>
      </c>
      <c r="AQ85" s="414">
        <f t="shared" si="156"/>
        <v>0</v>
      </c>
      <c r="AR85" s="414">
        <f t="shared" si="157"/>
        <v>0</v>
      </c>
      <c r="AS85" s="414">
        <f t="shared" si="158"/>
        <v>0</v>
      </c>
      <c r="AT85" s="415">
        <f t="shared" si="167"/>
        <v>0</v>
      </c>
      <c r="AU85" s="416">
        <f t="shared" si="168"/>
        <v>0</v>
      </c>
      <c r="AV85" s="417"/>
      <c r="AW85" s="418">
        <f t="shared" si="143"/>
        <v>0</v>
      </c>
      <c r="AX85" s="413">
        <f>IF(D85="",0,E85*VLOOKUP(H85,Trekkers!$E$141:$L$143,COLUMNS(Trekkers!$E$141:$L$141),FALSE)*AJ85)</f>
        <v>0</v>
      </c>
      <c r="AY85" s="414">
        <f t="shared" si="169"/>
        <v>0</v>
      </c>
      <c r="AZ85" s="414">
        <f>IF(D85="",0,VLOOKUP($D85,Trekkers!$A:$V,COLUMN(Trekkers!$K$5),FALSE))</f>
        <v>0</v>
      </c>
      <c r="BA85" s="414">
        <f>0</f>
        <v>0</v>
      </c>
      <c r="BB85" s="415">
        <f t="shared" si="170"/>
        <v>0</v>
      </c>
      <c r="BC85" s="414">
        <f>IF($D85="",0,VLOOKUP($D85,Trekkers!$A:$V,COLUMN(Trekkers!$G$5),FALSE)*$E$9/100)</f>
        <v>0</v>
      </c>
      <c r="BD85" s="414">
        <f>IF($D85="",0,VLOOKUP($D85,Trekkers!$A:$V,COLUMN(Trekkers!$H$5),FALSE))</f>
        <v>0</v>
      </c>
      <c r="BE85" s="414">
        <f>IF($D85="",0,VLOOKUP($D85,Trekkers!$A:$V,COLUMN(Trekkers!$I$5),FALSE)/$G$8*$E$8)</f>
        <v>0</v>
      </c>
      <c r="BF85" s="415">
        <f t="shared" si="171"/>
        <v>0</v>
      </c>
      <c r="BG85" s="416">
        <f t="shared" si="172"/>
        <v>0</v>
      </c>
      <c r="BH85" s="417"/>
      <c r="BI85" s="418">
        <f t="shared" si="145"/>
        <v>0</v>
      </c>
      <c r="BJ85" s="414">
        <f>IF($I85=0,0,VLOOKUP($I85,'Implemente &amp; Waens'!$A:$Z,COLUMN('Implemente &amp; Waens'!M$5),FALSE))</f>
        <v>0</v>
      </c>
      <c r="BK85" s="414">
        <f>IF($I85=0,0,VLOOKUP($I85,'Implemente &amp; Waens'!$A:$Z,COLUMN('Implemente &amp; Waens'!N$5),FALSE))</f>
        <v>0</v>
      </c>
      <c r="BL85" s="415">
        <f t="shared" si="173"/>
        <v>0</v>
      </c>
      <c r="BM85" s="414">
        <f>IF($I85=0,0,VLOOKUP($I85,'Implemente &amp; Waens'!$A:$Z,COLUMN('Implemente &amp; Waens'!I$5),FALSE)*$E$9/100)</f>
        <v>0</v>
      </c>
      <c r="BN85" s="414">
        <f>IF($I85=0,0,VLOOKUP($I85,'Implemente &amp; Waens'!$A:$Z,COLUMN('Implemente &amp; Waens'!J$5),FALSE))</f>
        <v>0</v>
      </c>
      <c r="BO85" s="414">
        <f>IF($I85=0,0,VLOOKUP($I85,'Implemente &amp; Waens'!$A:$Z,COLUMN('Implemente &amp; Waens'!K$5),FALSE)/$G$8*$E$8)</f>
        <v>0</v>
      </c>
      <c r="BP85" s="415">
        <f t="shared" si="174"/>
        <v>0</v>
      </c>
      <c r="BQ85" s="416">
        <f t="shared" si="175"/>
        <v>0</v>
      </c>
    </row>
    <row r="86" spans="2:69">
      <c r="B86" s="427"/>
      <c r="C86" s="731"/>
      <c r="D86" s="398"/>
      <c r="E86" s="399"/>
      <c r="F86" s="399"/>
      <c r="G86" s="399"/>
      <c r="H86" s="815"/>
      <c r="I86" s="398"/>
      <c r="J86" s="400">
        <f>IF($I86=0,0,VLOOKUP($I86,'Implemente &amp; Waens'!$A:$Z,COLUMN('Implemente &amp; Waens'!C$5),FALSE))</f>
        <v>0</v>
      </c>
      <c r="K86" s="728"/>
      <c r="L86" s="730"/>
      <c r="M86" s="428">
        <f t="shared" si="176"/>
        <v>0</v>
      </c>
      <c r="N86" s="733">
        <v>0</v>
      </c>
      <c r="O86" s="401"/>
      <c r="P86" s="915">
        <f t="shared" si="159"/>
        <v>0</v>
      </c>
      <c r="Q86" s="915">
        <f t="shared" si="160"/>
        <v>0</v>
      </c>
      <c r="R86" s="915">
        <f t="shared" si="161"/>
        <v>0</v>
      </c>
      <c r="S86" s="923">
        <f t="shared" si="162"/>
        <v>0</v>
      </c>
      <c r="T86" s="917">
        <f t="shared" si="177"/>
        <v>0</v>
      </c>
      <c r="U86" s="919">
        <f t="shared" si="178"/>
        <v>0</v>
      </c>
      <c r="V86" s="923">
        <f t="shared" si="183"/>
        <v>0</v>
      </c>
      <c r="X86" s="404">
        <f t="shared" si="179"/>
        <v>0</v>
      </c>
      <c r="Y86" s="405">
        <f t="shared" si="147"/>
        <v>0</v>
      </c>
      <c r="Z86" s="406">
        <f t="shared" si="147"/>
        <v>0</v>
      </c>
      <c r="AA86" s="404">
        <f t="shared" si="180"/>
        <v>0</v>
      </c>
      <c r="AB86" s="405">
        <f t="shared" si="148"/>
        <v>0</v>
      </c>
      <c r="AC86" s="407">
        <f t="shared" si="148"/>
        <v>0</v>
      </c>
      <c r="AD86" s="408">
        <f t="shared" si="149"/>
        <v>0</v>
      </c>
      <c r="AE86" s="409">
        <f t="shared" si="181"/>
        <v>0</v>
      </c>
      <c r="AF86" s="410">
        <f t="shared" si="150"/>
        <v>0</v>
      </c>
      <c r="AG86" s="411">
        <f t="shared" si="151"/>
        <v>0</v>
      </c>
      <c r="AH86" s="412">
        <f t="shared" si="182"/>
        <v>0</v>
      </c>
      <c r="AJ86" s="765">
        <v>1</v>
      </c>
      <c r="AL86" s="413">
        <f t="shared" si="152"/>
        <v>0</v>
      </c>
      <c r="AM86" s="414">
        <f t="shared" si="153"/>
        <v>0</v>
      </c>
      <c r="AN86" s="414">
        <f t="shared" si="154"/>
        <v>0</v>
      </c>
      <c r="AO86" s="414">
        <f t="shared" si="155"/>
        <v>0</v>
      </c>
      <c r="AP86" s="415">
        <f t="shared" si="166"/>
        <v>0</v>
      </c>
      <c r="AQ86" s="414">
        <f t="shared" si="156"/>
        <v>0</v>
      </c>
      <c r="AR86" s="414">
        <f t="shared" si="157"/>
        <v>0</v>
      </c>
      <c r="AS86" s="414">
        <f t="shared" si="158"/>
        <v>0</v>
      </c>
      <c r="AT86" s="415">
        <f t="shared" si="167"/>
        <v>0</v>
      </c>
      <c r="AU86" s="416">
        <f t="shared" si="168"/>
        <v>0</v>
      </c>
      <c r="AV86" s="417"/>
      <c r="AW86" s="418">
        <f t="shared" si="143"/>
        <v>0</v>
      </c>
      <c r="AX86" s="413">
        <f>IF(D86="",0,E86*VLOOKUP(H86,Trekkers!$E$141:$L$143,COLUMNS(Trekkers!$E$141:$L$141),FALSE)*AJ86)</f>
        <v>0</v>
      </c>
      <c r="AY86" s="414">
        <f t="shared" si="169"/>
        <v>0</v>
      </c>
      <c r="AZ86" s="414">
        <f>IF(D86="",0,VLOOKUP($D86,Trekkers!$A:$V,COLUMN(Trekkers!$K$5),FALSE))</f>
        <v>0</v>
      </c>
      <c r="BA86" s="414">
        <f>0</f>
        <v>0</v>
      </c>
      <c r="BB86" s="415">
        <f t="shared" si="170"/>
        <v>0</v>
      </c>
      <c r="BC86" s="414">
        <f>IF($D86="",0,VLOOKUP($D86,Trekkers!$A:$V,COLUMN(Trekkers!$G$5),FALSE)*$E$9/100)</f>
        <v>0</v>
      </c>
      <c r="BD86" s="414">
        <f>IF($D86="",0,VLOOKUP($D86,Trekkers!$A:$V,COLUMN(Trekkers!$H$5),FALSE))</f>
        <v>0</v>
      </c>
      <c r="BE86" s="414">
        <f>IF($D86="",0,VLOOKUP($D86,Trekkers!$A:$V,COLUMN(Trekkers!$I$5),FALSE)/$G$8*$E$8)</f>
        <v>0</v>
      </c>
      <c r="BF86" s="415">
        <f t="shared" si="171"/>
        <v>0</v>
      </c>
      <c r="BG86" s="416">
        <f t="shared" si="172"/>
        <v>0</v>
      </c>
      <c r="BH86" s="417"/>
      <c r="BI86" s="418">
        <f t="shared" si="145"/>
        <v>0</v>
      </c>
      <c r="BJ86" s="414">
        <f>IF($I86=0,0,VLOOKUP($I86,'Implemente &amp; Waens'!$A:$Z,COLUMN('Implemente &amp; Waens'!M$5),FALSE))</f>
        <v>0</v>
      </c>
      <c r="BK86" s="414">
        <f>IF($I86=0,0,VLOOKUP($I86,'Implemente &amp; Waens'!$A:$Z,COLUMN('Implemente &amp; Waens'!N$5),FALSE))</f>
        <v>0</v>
      </c>
      <c r="BL86" s="415">
        <f t="shared" si="173"/>
        <v>0</v>
      </c>
      <c r="BM86" s="414">
        <f>IF($I86=0,0,VLOOKUP($I86,'Implemente &amp; Waens'!$A:$Z,COLUMN('Implemente &amp; Waens'!I$5),FALSE)*$E$9/100)</f>
        <v>0</v>
      </c>
      <c r="BN86" s="414">
        <f>IF($I86=0,0,VLOOKUP($I86,'Implemente &amp; Waens'!$A:$Z,COLUMN('Implemente &amp; Waens'!J$5),FALSE))</f>
        <v>0</v>
      </c>
      <c r="BO86" s="414">
        <f>IF($I86=0,0,VLOOKUP($I86,'Implemente &amp; Waens'!$A:$Z,COLUMN('Implemente &amp; Waens'!K$5),FALSE)/$G$8*$E$8)</f>
        <v>0</v>
      </c>
      <c r="BP86" s="415">
        <f t="shared" si="174"/>
        <v>0</v>
      </c>
      <c r="BQ86" s="416">
        <f t="shared" si="175"/>
        <v>0</v>
      </c>
    </row>
    <row r="87" spans="2:69">
      <c r="B87" s="427"/>
      <c r="C87" s="731"/>
      <c r="D87" s="398"/>
      <c r="E87" s="399"/>
      <c r="F87" s="399"/>
      <c r="G87" s="399"/>
      <c r="H87" s="815"/>
      <c r="I87" s="398"/>
      <c r="J87" s="400">
        <f>IF($I87=0,0,VLOOKUP($I87,'Implemente &amp; Waens'!$A:$Z,COLUMN('Implemente &amp; Waens'!C$5),FALSE))</f>
        <v>0</v>
      </c>
      <c r="K87" s="728"/>
      <c r="L87" s="730"/>
      <c r="M87" s="428">
        <f t="shared" si="176"/>
        <v>0</v>
      </c>
      <c r="N87" s="733">
        <v>0</v>
      </c>
      <c r="O87" s="401"/>
      <c r="P87" s="915">
        <f t="shared" si="159"/>
        <v>0</v>
      </c>
      <c r="Q87" s="915">
        <f t="shared" si="160"/>
        <v>0</v>
      </c>
      <c r="R87" s="915">
        <f t="shared" si="161"/>
        <v>0</v>
      </c>
      <c r="S87" s="923">
        <f t="shared" si="162"/>
        <v>0</v>
      </c>
      <c r="T87" s="917">
        <f t="shared" si="177"/>
        <v>0</v>
      </c>
      <c r="U87" s="919">
        <f t="shared" si="178"/>
        <v>0</v>
      </c>
      <c r="V87" s="923">
        <f t="shared" si="183"/>
        <v>0</v>
      </c>
      <c r="X87" s="404">
        <f t="shared" si="179"/>
        <v>0</v>
      </c>
      <c r="Y87" s="405">
        <f t="shared" si="147"/>
        <v>0</v>
      </c>
      <c r="Z87" s="406">
        <f t="shared" si="147"/>
        <v>0</v>
      </c>
      <c r="AA87" s="404">
        <f t="shared" si="180"/>
        <v>0</v>
      </c>
      <c r="AB87" s="405">
        <f t="shared" si="148"/>
        <v>0</v>
      </c>
      <c r="AC87" s="407">
        <f t="shared" si="148"/>
        <v>0</v>
      </c>
      <c r="AD87" s="408">
        <f t="shared" si="149"/>
        <v>0</v>
      </c>
      <c r="AE87" s="409">
        <f t="shared" si="181"/>
        <v>0</v>
      </c>
      <c r="AF87" s="410">
        <f t="shared" si="150"/>
        <v>0</v>
      </c>
      <c r="AG87" s="411">
        <f t="shared" si="151"/>
        <v>0</v>
      </c>
      <c r="AH87" s="412">
        <f t="shared" si="182"/>
        <v>0</v>
      </c>
      <c r="AJ87" s="765">
        <v>1</v>
      </c>
      <c r="AL87" s="413">
        <f t="shared" si="152"/>
        <v>0</v>
      </c>
      <c r="AM87" s="414">
        <f t="shared" si="153"/>
        <v>0</v>
      </c>
      <c r="AN87" s="414">
        <f t="shared" si="154"/>
        <v>0</v>
      </c>
      <c r="AO87" s="414">
        <f t="shared" si="155"/>
        <v>0</v>
      </c>
      <c r="AP87" s="415">
        <f t="shared" si="166"/>
        <v>0</v>
      </c>
      <c r="AQ87" s="414">
        <f t="shared" si="156"/>
        <v>0</v>
      </c>
      <c r="AR87" s="414">
        <f t="shared" si="157"/>
        <v>0</v>
      </c>
      <c r="AS87" s="414">
        <f t="shared" si="158"/>
        <v>0</v>
      </c>
      <c r="AT87" s="415">
        <f t="shared" si="167"/>
        <v>0</v>
      </c>
      <c r="AU87" s="416">
        <f t="shared" si="168"/>
        <v>0</v>
      </c>
      <c r="AV87" s="417"/>
      <c r="AW87" s="418">
        <f t="shared" si="143"/>
        <v>0</v>
      </c>
      <c r="AX87" s="413">
        <f>IF(D87="",0,E87*VLOOKUP(H87,Trekkers!$E$141:$L$143,COLUMNS(Trekkers!$E$141:$L$141),FALSE)*AJ87)</f>
        <v>0</v>
      </c>
      <c r="AY87" s="414">
        <f t="shared" si="169"/>
        <v>0</v>
      </c>
      <c r="AZ87" s="414">
        <f>IF(D87="",0,VLOOKUP($D87,Trekkers!$A:$V,COLUMN(Trekkers!$K$5),FALSE))</f>
        <v>0</v>
      </c>
      <c r="BA87" s="414">
        <f>0</f>
        <v>0</v>
      </c>
      <c r="BB87" s="415">
        <f t="shared" si="170"/>
        <v>0</v>
      </c>
      <c r="BC87" s="414">
        <f>IF($D87="",0,VLOOKUP($D87,Trekkers!$A:$V,COLUMN(Trekkers!$G$5),FALSE)*$E$9/100)</f>
        <v>0</v>
      </c>
      <c r="BD87" s="414">
        <f>IF($D87="",0,VLOOKUP($D87,Trekkers!$A:$V,COLUMN(Trekkers!$H$5),FALSE))</f>
        <v>0</v>
      </c>
      <c r="BE87" s="414">
        <f>IF($D87="",0,VLOOKUP($D87,Trekkers!$A:$V,COLUMN(Trekkers!$I$5),FALSE)/$G$8*$E$8)</f>
        <v>0</v>
      </c>
      <c r="BF87" s="415">
        <f t="shared" si="171"/>
        <v>0</v>
      </c>
      <c r="BG87" s="416">
        <f t="shared" si="172"/>
        <v>0</v>
      </c>
      <c r="BH87" s="417"/>
      <c r="BI87" s="418">
        <f t="shared" si="145"/>
        <v>0</v>
      </c>
      <c r="BJ87" s="414">
        <f>IF($I87=0,0,VLOOKUP($I87,'Implemente &amp; Waens'!$A:$Z,COLUMN('Implemente &amp; Waens'!M$5),FALSE))</f>
        <v>0</v>
      </c>
      <c r="BK87" s="414">
        <f>IF($I87=0,0,VLOOKUP($I87,'Implemente &amp; Waens'!$A:$Z,COLUMN('Implemente &amp; Waens'!N$5),FALSE))</f>
        <v>0</v>
      </c>
      <c r="BL87" s="415">
        <f t="shared" si="173"/>
        <v>0</v>
      </c>
      <c r="BM87" s="414">
        <f>IF($I87=0,0,VLOOKUP($I87,'Implemente &amp; Waens'!$A:$Z,COLUMN('Implemente &amp; Waens'!I$5),FALSE)*$E$9/100)</f>
        <v>0</v>
      </c>
      <c r="BN87" s="414">
        <f>IF($I87=0,0,VLOOKUP($I87,'Implemente &amp; Waens'!$A:$Z,COLUMN('Implemente &amp; Waens'!J$5),FALSE))</f>
        <v>0</v>
      </c>
      <c r="BO87" s="414">
        <f>IF($I87=0,0,VLOOKUP($I87,'Implemente &amp; Waens'!$A:$Z,COLUMN('Implemente &amp; Waens'!K$5),FALSE)/$G$8*$E$8)</f>
        <v>0</v>
      </c>
      <c r="BP87" s="415">
        <f t="shared" si="174"/>
        <v>0</v>
      </c>
      <c r="BQ87" s="416">
        <f t="shared" si="175"/>
        <v>0</v>
      </c>
    </row>
    <row r="88" spans="2:69">
      <c r="AL88" s="344" t="s">
        <v>220</v>
      </c>
      <c r="AX88" s="344" t="s">
        <v>220</v>
      </c>
      <c r="BJ88" s="344" t="s">
        <v>193</v>
      </c>
    </row>
    <row r="89" spans="2:69">
      <c r="AL89" s="344"/>
      <c r="AX89" s="344"/>
      <c r="BJ89" s="344"/>
    </row>
    <row r="90" spans="2:69" ht="18.75" thickBot="1">
      <c r="B90" s="359" t="s">
        <v>602</v>
      </c>
      <c r="C90" s="360"/>
      <c r="D90" s="360"/>
      <c r="E90" s="360"/>
      <c r="F90" s="360"/>
      <c r="G90" s="360"/>
      <c r="H90" s="360"/>
      <c r="I90" s="360"/>
      <c r="J90" s="360"/>
      <c r="X90" s="358"/>
      <c r="Y90" s="358"/>
      <c r="Z90" s="358"/>
      <c r="AA90" s="358"/>
      <c r="AL90" s="363" t="str">
        <f>B90</f>
        <v>VERVOER : BAKKIES EN VRAGMOTORS MET OF SONDER SLEEPWAENS</v>
      </c>
      <c r="AW90" s="365" t="s">
        <v>604</v>
      </c>
      <c r="AX90" s="366"/>
      <c r="AY90" s="366"/>
      <c r="BI90" s="365" t="s">
        <v>201</v>
      </c>
      <c r="BJ90" s="366"/>
      <c r="BK90" s="366"/>
    </row>
    <row r="91" spans="2:69" ht="13.5" thickBot="1">
      <c r="B91" s="367"/>
      <c r="C91" s="368"/>
      <c r="D91" s="369"/>
      <c r="E91" s="369"/>
      <c r="F91" s="369"/>
      <c r="G91" s="369"/>
      <c r="H91" s="369"/>
      <c r="I91" s="369"/>
      <c r="J91" s="368"/>
      <c r="K91" s="369"/>
      <c r="L91" s="369"/>
      <c r="M91" s="369"/>
      <c r="N91" s="369"/>
      <c r="O91" s="369"/>
      <c r="P91" s="369"/>
      <c r="Q91" s="369"/>
      <c r="R91" s="369"/>
      <c r="S91" s="922"/>
      <c r="T91" s="369"/>
      <c r="U91" s="369"/>
      <c r="V91" s="922"/>
      <c r="X91" s="369"/>
      <c r="Y91" s="369"/>
      <c r="Z91" s="369"/>
      <c r="AA91" s="369"/>
      <c r="AB91" s="369"/>
      <c r="AC91" s="369"/>
      <c r="AD91" s="369"/>
      <c r="AE91" s="369"/>
      <c r="AF91" s="370"/>
      <c r="AG91" s="369"/>
      <c r="AH91" s="369"/>
      <c r="AL91" s="364" t="s">
        <v>603</v>
      </c>
      <c r="AW91" s="364" t="s">
        <v>227</v>
      </c>
      <c r="BI91" s="364" t="s">
        <v>943</v>
      </c>
    </row>
    <row r="92" spans="2:69" s="374" customFormat="1" ht="12.75" customHeight="1">
      <c r="B92" s="371"/>
      <c r="C92" s="372"/>
      <c r="D92" s="1040" t="s">
        <v>207</v>
      </c>
      <c r="E92" s="1041"/>
      <c r="F92" s="1041"/>
      <c r="G92" s="1043"/>
      <c r="H92" s="372"/>
      <c r="I92" s="1041" t="s">
        <v>202</v>
      </c>
      <c r="J92" s="1043"/>
      <c r="K92" s="1040" t="s">
        <v>200</v>
      </c>
      <c r="L92" s="1041"/>
      <c r="M92" s="1044"/>
      <c r="N92" s="1040" t="s">
        <v>205</v>
      </c>
      <c r="O92" s="1041"/>
      <c r="P92" s="1041"/>
      <c r="Q92" s="1041"/>
      <c r="R92" s="1041"/>
      <c r="S92" s="1041"/>
      <c r="T92" s="1041"/>
      <c r="U92" s="1041"/>
      <c r="V92" s="457"/>
      <c r="W92" s="356"/>
      <c r="X92" s="1040" t="s">
        <v>601</v>
      </c>
      <c r="Y92" s="1041"/>
      <c r="Z92" s="1043"/>
      <c r="AA92" s="1045" t="s">
        <v>202</v>
      </c>
      <c r="AB92" s="1041"/>
      <c r="AC92" s="1044"/>
      <c r="AD92" s="1040" t="s">
        <v>365</v>
      </c>
      <c r="AE92" s="1041" t="str">
        <f>$AD$13</f>
        <v>R/UUR</v>
      </c>
      <c r="AF92" s="373"/>
      <c r="AG92" s="1040" t="s">
        <v>575</v>
      </c>
      <c r="AH92" s="1043"/>
      <c r="AI92" s="356"/>
      <c r="AJ92" s="356"/>
      <c r="AK92" s="356"/>
      <c r="AL92" s="1042" t="str">
        <f>$AL$13</f>
        <v>VERANDERLIKE KOSTE</v>
      </c>
      <c r="AM92" s="1042"/>
      <c r="AN92" s="1042"/>
      <c r="AO92" s="1042"/>
      <c r="AP92" s="1042"/>
      <c r="AQ92" s="1042" t="str">
        <f>$AQ$13</f>
        <v>VASTE KOSTE</v>
      </c>
      <c r="AR92" s="1042"/>
      <c r="AS92" s="1042"/>
      <c r="AT92" s="1042"/>
      <c r="AU92" s="912" t="str">
        <f>$AU$13</f>
        <v>TOTAAL</v>
      </c>
      <c r="AW92" s="912"/>
      <c r="AX92" s="1042" t="str">
        <f>AX$13</f>
        <v>VERANDERLIKE KOSTE</v>
      </c>
      <c r="AY92" s="1042"/>
      <c r="AZ92" s="1042"/>
      <c r="BA92" s="1042"/>
      <c r="BB92" s="1042"/>
      <c r="BC92" s="1042" t="str">
        <f>BC$13</f>
        <v>VASTE KOSTE</v>
      </c>
      <c r="BD92" s="1042"/>
      <c r="BE92" s="1042"/>
      <c r="BF92" s="1042"/>
      <c r="BG92" s="912" t="str">
        <f>BG$13</f>
        <v>TOTAAL</v>
      </c>
      <c r="BI92" s="912"/>
      <c r="BJ92" s="1042" t="str">
        <f>$BJ$13</f>
        <v>VERANDERLIKE KOSTE</v>
      </c>
      <c r="BK92" s="1042"/>
      <c r="BL92" s="1042"/>
      <c r="BM92" s="1042" t="str">
        <f>$BM$13</f>
        <v>VASTE KOSTE</v>
      </c>
      <c r="BN92" s="1042"/>
      <c r="BO92" s="1042"/>
      <c r="BP92" s="1042"/>
      <c r="BQ92" s="912" t="str">
        <f>$BQ$13</f>
        <v>TOTAAL</v>
      </c>
    </row>
    <row r="93" spans="2:69" s="395" customFormat="1" ht="39" thickBot="1">
      <c r="B93" s="375" t="s">
        <v>83</v>
      </c>
      <c r="C93" s="376" t="s">
        <v>34</v>
      </c>
      <c r="D93" s="430" t="s">
        <v>219</v>
      </c>
      <c r="E93" s="1047" t="s">
        <v>84</v>
      </c>
      <c r="F93" s="1048"/>
      <c r="G93" s="1049"/>
      <c r="H93" s="431" t="s">
        <v>185</v>
      </c>
      <c r="I93" s="424" t="s">
        <v>203</v>
      </c>
      <c r="J93" s="381" t="s">
        <v>204</v>
      </c>
      <c r="K93" s="382" t="s">
        <v>551</v>
      </c>
      <c r="L93" s="375" t="s">
        <v>161</v>
      </c>
      <c r="M93" s="425" t="s">
        <v>206</v>
      </c>
      <c r="N93" s="426" t="s">
        <v>199</v>
      </c>
      <c r="O93" s="382"/>
      <c r="P93" s="913" t="s">
        <v>1286</v>
      </c>
      <c r="Q93" s="914" t="s">
        <v>1283</v>
      </c>
      <c r="R93" s="914" t="s">
        <v>1284</v>
      </c>
      <c r="S93" s="921" t="s">
        <v>1285</v>
      </c>
      <c r="T93" s="916" t="s">
        <v>87</v>
      </c>
      <c r="U93" s="918" t="s">
        <v>181</v>
      </c>
      <c r="V93" s="921" t="s">
        <v>1287</v>
      </c>
      <c r="W93" s="356"/>
      <c r="X93" s="385" t="s">
        <v>232</v>
      </c>
      <c r="Y93" s="386" t="s">
        <v>233</v>
      </c>
      <c r="Z93" s="378" t="s">
        <v>234</v>
      </c>
      <c r="AA93" s="385" t="s">
        <v>232</v>
      </c>
      <c r="AB93" s="386" t="s">
        <v>233</v>
      </c>
      <c r="AC93" s="387" t="s">
        <v>234</v>
      </c>
      <c r="AD93" s="388" t="s">
        <v>577</v>
      </c>
      <c r="AE93" s="385" t="s">
        <v>578</v>
      </c>
      <c r="AF93" s="389" t="str">
        <f t="shared" ref="AF93:AF103" si="184">N93</f>
        <v>Vrag kapasiteit (ton)</v>
      </c>
      <c r="AG93" s="390" t="s">
        <v>562</v>
      </c>
      <c r="AH93" s="391" t="s">
        <v>563</v>
      </c>
      <c r="AI93" s="356"/>
      <c r="AJ93" s="375" t="s">
        <v>1104</v>
      </c>
      <c r="AK93" s="356"/>
      <c r="AL93" s="383" t="s">
        <v>564</v>
      </c>
      <c r="AM93" s="375" t="s">
        <v>565</v>
      </c>
      <c r="AN93" s="375" t="s">
        <v>566</v>
      </c>
      <c r="AO93" s="375" t="s">
        <v>567</v>
      </c>
      <c r="AP93" s="392" t="s">
        <v>568</v>
      </c>
      <c r="AQ93" s="375" t="s">
        <v>569</v>
      </c>
      <c r="AR93" s="375" t="s">
        <v>570</v>
      </c>
      <c r="AS93" s="393" t="s">
        <v>571</v>
      </c>
      <c r="AT93" s="392" t="s">
        <v>572</v>
      </c>
      <c r="AU93" s="394" t="s">
        <v>573</v>
      </c>
      <c r="AW93" s="396" t="str">
        <f t="shared" ref="AW93:AW103" si="185">D93</f>
        <v>Bakkie / Lorrie Kode</v>
      </c>
      <c r="AX93" s="383" t="s">
        <v>218</v>
      </c>
      <c r="AY93" s="375" t="s">
        <v>209</v>
      </c>
      <c r="AZ93" s="375" t="s">
        <v>210</v>
      </c>
      <c r="BA93" s="375" t="s">
        <v>211</v>
      </c>
      <c r="BB93" s="392" t="s">
        <v>212</v>
      </c>
      <c r="BC93" s="393" t="s">
        <v>208</v>
      </c>
      <c r="BD93" s="375" t="s">
        <v>217</v>
      </c>
      <c r="BE93" s="375" t="s">
        <v>216</v>
      </c>
      <c r="BF93" s="392" t="s">
        <v>213</v>
      </c>
      <c r="BG93" s="394" t="s">
        <v>214</v>
      </c>
      <c r="BI93" s="396" t="str">
        <f t="shared" ref="BI93:BI103" si="186">I93</f>
        <v>Sleepwa Kode</v>
      </c>
      <c r="BJ93" s="375" t="str">
        <f t="shared" ref="BJ93:BQ93" si="187">BJ$14</f>
        <v>Herstel &amp; Ondrh. (R/Uur)</v>
      </c>
      <c r="BK93" s="375" t="str">
        <f t="shared" si="187"/>
        <v>Alle ander (R/Uur)</v>
      </c>
      <c r="BL93" s="392" t="str">
        <f t="shared" si="187"/>
        <v>Totaal Verandrlik (R/Uur)</v>
      </c>
      <c r="BM93" s="375" t="str">
        <f t="shared" si="187"/>
        <v>Waarde- vermindr (R/Uur)</v>
      </c>
      <c r="BN93" s="393" t="str">
        <f t="shared" si="187"/>
        <v>Verseker &amp; lisensie (R/Uur)</v>
      </c>
      <c r="BO93" s="375" t="str">
        <f t="shared" si="187"/>
        <v>Rente 
(R/Uur)</v>
      </c>
      <c r="BP93" s="392" t="str">
        <f t="shared" si="187"/>
        <v>Totaal Vaste (R/Uur)</v>
      </c>
      <c r="BQ93" s="394" t="str">
        <f t="shared" si="187"/>
        <v>Totale Koste (R/Uur)</v>
      </c>
    </row>
    <row r="94" spans="2:69" ht="15" customHeight="1">
      <c r="B94" s="427"/>
      <c r="C94" s="731" t="s">
        <v>230</v>
      </c>
      <c r="D94" s="432">
        <f>'Bakkies &amp; Vragmotors'!$A$269</f>
        <v>269</v>
      </c>
      <c r="E94" s="1050" t="str">
        <f>IF($D94=0,0,VLOOKUP($D94,'Bakkies &amp; Vragmotors'!$A:$AA,COLUMN('Bakkies &amp; Vragmotors'!D$5),FALSE))</f>
        <v>8.0 ton vragmotor</v>
      </c>
      <c r="F94" s="1050"/>
      <c r="G94" s="1050"/>
      <c r="H94" s="433" t="str">
        <f>IF($D94=0,0,VLOOKUP($D94,'Bakkies &amp; Vragmotors'!$A:$AA,COLUMN('Bakkies &amp; Vragmotors'!K$5),FALSE))</f>
        <v>Diesel</v>
      </c>
      <c r="I94" s="398"/>
      <c r="J94" s="400">
        <f>IF($I94=0,0,VLOOKUP($I94,'Implemente &amp; Waens'!$A:$Z,COLUMN('Implemente &amp; Waens'!C$5),FALSE))</f>
        <v>0</v>
      </c>
      <c r="K94" s="874">
        <v>60</v>
      </c>
      <c r="L94" s="876">
        <v>0.9</v>
      </c>
      <c r="M94" s="428">
        <f>IF($L94=0,0,1/K94*100/L94)</f>
        <v>1.8518518518518519</v>
      </c>
      <c r="N94" s="877">
        <v>7</v>
      </c>
      <c r="O94" s="401"/>
      <c r="P94" s="915">
        <f>$AU94-$AM94-$AS94*100%-$AQ94*50%</f>
        <v>1.0464285714285715</v>
      </c>
      <c r="Q94" s="915">
        <f>$AU94-$AM94-$AS94*100%-$AQ94*0%</f>
        <v>1.2357142857142858</v>
      </c>
      <c r="R94" s="915">
        <f>$AU94-$AM94-$AS94*50%-$AQ94*0%</f>
        <v>1.4785714285714286</v>
      </c>
      <c r="S94" s="923">
        <f>$AU94-$AM94-$AS94*0%-$AQ94*0%</f>
        <v>1.7214285714285715</v>
      </c>
      <c r="T94" s="917">
        <f>AL94</f>
        <v>4.2857142857142858E-2</v>
      </c>
      <c r="U94" s="919">
        <f>AM94</f>
        <v>0.52714285714285714</v>
      </c>
      <c r="V94" s="923">
        <f>S94+U94</f>
        <v>2.2485714285714287</v>
      </c>
      <c r="X94" s="404">
        <f>BB94</f>
        <v>7.2399999999999993</v>
      </c>
      <c r="Y94" s="405">
        <f>BF94</f>
        <v>8.5</v>
      </c>
      <c r="Z94" s="406">
        <f>BG94</f>
        <v>15.739999999999998</v>
      </c>
      <c r="AA94" s="404">
        <f t="shared" ref="AA94:AA103" si="188">BL94*M94/100</f>
        <v>0</v>
      </c>
      <c r="AB94" s="405">
        <f t="shared" ref="AB94:AB103" si="189">BP94*M94/100</f>
        <v>0</v>
      </c>
      <c r="AC94" s="407">
        <f t="shared" ref="AC94:AC103" si="190">BQ94*M94/100</f>
        <v>0</v>
      </c>
      <c r="AD94" s="408">
        <f>AE94-AY94</f>
        <v>12.049999999999999</v>
      </c>
      <c r="AE94" s="409">
        <f>Z94+AC94</f>
        <v>15.739999999999998</v>
      </c>
      <c r="AF94" s="410">
        <f t="shared" si="184"/>
        <v>7</v>
      </c>
      <c r="AG94" s="411">
        <f>AH94-AM94</f>
        <v>1.7214285714285715</v>
      </c>
      <c r="AH94" s="412">
        <f>AU94</f>
        <v>2.2485714285714287</v>
      </c>
      <c r="AJ94" s="765">
        <v>1</v>
      </c>
      <c r="AL94" s="413">
        <f>IF($N94=0,0,AX94/100/$N94)</f>
        <v>4.2857142857142858E-2</v>
      </c>
      <c r="AM94" s="414">
        <f t="shared" ref="AM94:AM103" si="191">AL94*$E$7</f>
        <v>0.52714285714285714</v>
      </c>
      <c r="AN94" s="414">
        <f t="shared" ref="AN94:AN103" si="192">IF($AF94=0,0,(AZ94+BJ94*$M94/100)/$AF94)</f>
        <v>0.25</v>
      </c>
      <c r="AO94" s="414">
        <f t="shared" ref="AO94:AO103" si="193">IF($AF94=0,0,(BA94+BK94*$M94/100)/$AF94)</f>
        <v>0.25714285714285717</v>
      </c>
      <c r="AP94" s="415">
        <f>SUM(AM94:AO94)</f>
        <v>1.0342857142857143</v>
      </c>
      <c r="AQ94" s="414">
        <f t="shared" ref="AQ94:AQ103" si="194">IF($AF94=0,0,(BC94+BM94*$M94/100)/$AF94)</f>
        <v>0.37857142857142861</v>
      </c>
      <c r="AR94" s="414">
        <f t="shared" ref="AR94:AR103" si="195">IF($AF94=0,0,(BD94+BN94*$M94/100)/$AF94)</f>
        <v>0.35000000000000003</v>
      </c>
      <c r="AS94" s="414">
        <f t="shared" ref="AS94:AS103" si="196">IF($AF94=0,0,(BE94+BO94*$M94/100)/$AF94)</f>
        <v>0.48571428571428577</v>
      </c>
      <c r="AT94" s="415">
        <f>SUM(AQ94:AS94)</f>
        <v>1.2142857142857144</v>
      </c>
      <c r="AU94" s="416">
        <f>AP94+AT94</f>
        <v>2.2485714285714287</v>
      </c>
      <c r="AV94" s="417"/>
      <c r="AW94" s="418">
        <f t="shared" si="185"/>
        <v>269</v>
      </c>
      <c r="AX94" s="413">
        <f>IF($D94="",0,VLOOKUP($D94,'Bakkies &amp; Vragmotors'!$A:$AB,COLUMN('Bakkies &amp; Vragmotors'!I$5),FALSE)*AJ94)</f>
        <v>30</v>
      </c>
      <c r="AY94" s="414">
        <f>AX94*IF(H94="Petrol",#REF!,$E$7)/100</f>
        <v>3.69</v>
      </c>
      <c r="AZ94" s="414">
        <f>IF($D94="",0,VLOOKUP($D94,'Bakkies &amp; Vragmotors'!$A:$AB,COLUMN('Bakkies &amp; Vragmotors'!Q$5),FALSE))</f>
        <v>1.75</v>
      </c>
      <c r="BA94" s="414">
        <f>IF($D94="",0,VLOOKUP($D94,'Bakkies &amp; Vragmotors'!$A:$AB,COLUMN('Bakkies &amp; Vragmotors'!R$5),FALSE))</f>
        <v>1.8</v>
      </c>
      <c r="BB94" s="415">
        <f>SUM(AY94:BA94)</f>
        <v>7.2399999999999993</v>
      </c>
      <c r="BC94" s="414">
        <f>IF($D94="",0,VLOOKUP($D94,'Bakkies &amp; Vragmotors'!$A:$AB,COLUMN('Bakkies &amp; Vragmotors'!L$5),FALSE)*$E$9/100)</f>
        <v>2.6500000000000004</v>
      </c>
      <c r="BD94" s="414">
        <f>IF($D94="",0,VLOOKUP($D94,'Bakkies &amp; Vragmotors'!$A:$AB,COLUMN('Bakkies &amp; Vragmotors'!M$5),FALSE))</f>
        <v>2.4500000000000002</v>
      </c>
      <c r="BE94" s="414">
        <f>IF($D94="",0,VLOOKUP($D94,'Bakkies &amp; Vragmotors'!$A:$AB,COLUMN('Bakkies &amp; Vragmotors'!N$5),FALSE)/$G$8*$E$8)</f>
        <v>3.4000000000000004</v>
      </c>
      <c r="BF94" s="415">
        <f>SUM(BC94:BE94)</f>
        <v>8.5</v>
      </c>
      <c r="BG94" s="416">
        <f>BB94+BF94</f>
        <v>15.739999999999998</v>
      </c>
      <c r="BH94" s="417"/>
      <c r="BI94" s="418">
        <f t="shared" si="186"/>
        <v>0</v>
      </c>
      <c r="BJ94" s="414">
        <f>IF($I94=0,0,VLOOKUP($I94,'Implemente &amp; Waens'!$A:$Z,COLUMN('Implemente &amp; Waens'!M$5),FALSE))</f>
        <v>0</v>
      </c>
      <c r="BK94" s="414">
        <f>IF($I94=0,0,VLOOKUP($I94,'Implemente &amp; Waens'!$A:$Z,COLUMN('Implemente &amp; Waens'!N$5),FALSE))</f>
        <v>0</v>
      </c>
      <c r="BL94" s="415">
        <f>SUM(BJ94:BK94)</f>
        <v>0</v>
      </c>
      <c r="BM94" s="414">
        <f>IF($I94=0,0,VLOOKUP($I94,'Implemente &amp; Waens'!$A:$Z,COLUMN('Implemente &amp; Waens'!I$5),FALSE)*$E$9/100)</f>
        <v>0</v>
      </c>
      <c r="BN94" s="414">
        <f>IF($I94=0,0,VLOOKUP($I94,'Implemente &amp; Waens'!$A:$Z,COLUMN('Implemente &amp; Waens'!J$5),FALSE))</f>
        <v>0</v>
      </c>
      <c r="BO94" s="414">
        <f>IF($I94=0,0,VLOOKUP($I94,'Implemente &amp; Waens'!$A:$Z,COLUMN('Implemente &amp; Waens'!K$5),FALSE)/$G$8*$E$8)</f>
        <v>0</v>
      </c>
      <c r="BP94" s="415">
        <f>SUM(BM94:BO94)</f>
        <v>0</v>
      </c>
      <c r="BQ94" s="416">
        <f>SUM(BL94,BP94)</f>
        <v>0</v>
      </c>
    </row>
    <row r="95" spans="2:69">
      <c r="B95" s="427"/>
      <c r="C95" s="731"/>
      <c r="D95" s="432">
        <f>'Bakkies &amp; Vragmotors'!$A$269</f>
        <v>269</v>
      </c>
      <c r="E95" s="1046" t="str">
        <f>IF($D95=0,0,VLOOKUP($D95,'Bakkies &amp; Vragmotors'!$A:$AA,COLUMN('Bakkies &amp; Vragmotors'!D$5),FALSE))</f>
        <v>8.0 ton vragmotor</v>
      </c>
      <c r="F95" s="1046"/>
      <c r="G95" s="1046"/>
      <c r="H95" s="433" t="str">
        <f>IF($D95=0,0,VLOOKUP($D95,'Bakkies &amp; Vragmotors'!$A:$AA,COLUMN('Bakkies &amp; Vragmotors'!K$5),FALSE))</f>
        <v>Diesel</v>
      </c>
      <c r="I95" s="398">
        <f>'Implemente &amp; Waens'!$A$585</f>
        <v>585</v>
      </c>
      <c r="J95" s="400" t="str">
        <f>IF($I95=0,0,VLOOKUP($I95,'Implemente &amp; Waens'!$A:$Z,COLUMN('Implemente &amp; Waens'!C$5),FALSE))</f>
        <v>Sleepwa : 10 Ton, vier-wiel</v>
      </c>
      <c r="K95" s="874">
        <v>20</v>
      </c>
      <c r="L95" s="876">
        <v>0.9</v>
      </c>
      <c r="M95" s="428">
        <f>IF($L95=0,0,1/K95*100/L95)</f>
        <v>5.5555555555555554</v>
      </c>
      <c r="N95" s="877">
        <v>14</v>
      </c>
      <c r="O95" s="401"/>
      <c r="P95" s="915">
        <f t="shared" ref="P95:P103" si="197">$AU95-$AM95-$AS95*100%-$AQ95*50%</f>
        <v>0.6030753968253969</v>
      </c>
      <c r="Q95" s="915">
        <f t="shared" ref="Q95:Q103" si="198">$AU95-$AM95-$AS95*100%-$AQ95*0%</f>
        <v>0.7240079365079366</v>
      </c>
      <c r="R95" s="915">
        <f t="shared" ref="R95:R103" si="199">$AU95-$AM95-$AS95*50%-$AQ95*0%</f>
        <v>0.87916666666666676</v>
      </c>
      <c r="S95" s="923">
        <f t="shared" ref="S95:S103" si="200">$AU95-$AM95-$AS95*0%-$AQ95*0%</f>
        <v>1.0343253968253969</v>
      </c>
      <c r="T95" s="917">
        <f t="shared" ref="T95" si="201">AL95</f>
        <v>2.1428571428571429E-2</v>
      </c>
      <c r="U95" s="919">
        <f t="shared" ref="U95" si="202">AM95</f>
        <v>0.26357142857142857</v>
      </c>
      <c r="V95" s="923">
        <f t="shared" ref="V95:V103" si="203">S95+U95</f>
        <v>1.2978968253968255</v>
      </c>
      <c r="X95" s="404">
        <f>BB95</f>
        <v>7.2399999999999993</v>
      </c>
      <c r="Y95" s="405">
        <f>BF95</f>
        <v>8.5</v>
      </c>
      <c r="Z95" s="419">
        <f>BG95</f>
        <v>15.739999999999998</v>
      </c>
      <c r="AA95" s="404">
        <f t="shared" si="188"/>
        <v>0.61388888888888893</v>
      </c>
      <c r="AB95" s="405">
        <f t="shared" si="189"/>
        <v>1.8166666666666669</v>
      </c>
      <c r="AC95" s="407">
        <f t="shared" si="190"/>
        <v>2.4305555555555554</v>
      </c>
      <c r="AD95" s="408">
        <f t="shared" ref="AD95:AD103" si="204">AE95-AY95</f>
        <v>14.480555555555553</v>
      </c>
      <c r="AE95" s="409">
        <f>Z95+AC95</f>
        <v>18.170555555555552</v>
      </c>
      <c r="AF95" s="410">
        <f t="shared" si="184"/>
        <v>14</v>
      </c>
      <c r="AG95" s="411">
        <f t="shared" ref="AG95:AG103" si="205">AH95-AM95</f>
        <v>1.0343253968253969</v>
      </c>
      <c r="AH95" s="412">
        <f>AU95</f>
        <v>1.2978968253968255</v>
      </c>
      <c r="AJ95" s="765">
        <v>1</v>
      </c>
      <c r="AL95" s="413">
        <f t="shared" ref="AL95:AL103" si="206">IF($N95=0,0,AX95/100/$N95)</f>
        <v>2.1428571428571429E-2</v>
      </c>
      <c r="AM95" s="414">
        <f t="shared" si="191"/>
        <v>0.26357142857142857</v>
      </c>
      <c r="AN95" s="414">
        <f t="shared" si="192"/>
        <v>0.16884920634920636</v>
      </c>
      <c r="AO95" s="414">
        <f t="shared" si="193"/>
        <v>0.12857142857142859</v>
      </c>
      <c r="AP95" s="415">
        <f>SUM(AM95:AO95)</f>
        <v>0.56099206349206354</v>
      </c>
      <c r="AQ95" s="414">
        <f t="shared" si="194"/>
        <v>0.24186507936507939</v>
      </c>
      <c r="AR95" s="414">
        <f t="shared" si="195"/>
        <v>0.18472222222222223</v>
      </c>
      <c r="AS95" s="414">
        <f t="shared" si="196"/>
        <v>0.31031746031746038</v>
      </c>
      <c r="AT95" s="415">
        <f>SUM(AQ95:AS95)</f>
        <v>0.73690476190476195</v>
      </c>
      <c r="AU95" s="416">
        <f>AP95+AT95</f>
        <v>1.2978968253968255</v>
      </c>
      <c r="AV95" s="417"/>
      <c r="AW95" s="418">
        <f t="shared" si="185"/>
        <v>269</v>
      </c>
      <c r="AX95" s="413">
        <f>IF($D95="",0,VLOOKUP($D95,'Bakkies &amp; Vragmotors'!$A:$AB,COLUMN('Bakkies &amp; Vragmotors'!I$5),FALSE)*AJ95)</f>
        <v>30</v>
      </c>
      <c r="AY95" s="414">
        <f>AX95*IF(H95="Petrol",#REF!,$E$7)/100</f>
        <v>3.69</v>
      </c>
      <c r="AZ95" s="414">
        <f>IF($D95="",0,VLOOKUP($D95,'Bakkies &amp; Vragmotors'!$A:$AB,COLUMN('Bakkies &amp; Vragmotors'!Q$5),FALSE))</f>
        <v>1.75</v>
      </c>
      <c r="BA95" s="414">
        <f>IF($D95="",0,VLOOKUP($D95,'Bakkies &amp; Vragmotors'!$A:$AB,COLUMN('Bakkies &amp; Vragmotors'!R$5),FALSE))</f>
        <v>1.8</v>
      </c>
      <c r="BB95" s="415">
        <f>SUM(AY95:BA95)</f>
        <v>7.2399999999999993</v>
      </c>
      <c r="BC95" s="414">
        <f>IF($D95="",0,VLOOKUP($D95,'Bakkies &amp; Vragmotors'!$A:$AB,COLUMN('Bakkies &amp; Vragmotors'!L$5),FALSE)*$E$9/100)</f>
        <v>2.6500000000000004</v>
      </c>
      <c r="BD95" s="414">
        <f>IF($D95="",0,VLOOKUP($D95,'Bakkies &amp; Vragmotors'!$A:$AB,COLUMN('Bakkies &amp; Vragmotors'!M$5),FALSE))</f>
        <v>2.4500000000000002</v>
      </c>
      <c r="BE95" s="414">
        <f>IF($D95="",0,VLOOKUP($D95,'Bakkies &amp; Vragmotors'!$A:$AB,COLUMN('Bakkies &amp; Vragmotors'!N$5),FALSE)/$G$8*$E$8)</f>
        <v>3.4000000000000004</v>
      </c>
      <c r="BF95" s="415">
        <f>SUM(BC95:BE95)</f>
        <v>8.5</v>
      </c>
      <c r="BG95" s="416">
        <f>BB95+BF95</f>
        <v>15.739999999999998</v>
      </c>
      <c r="BH95" s="417"/>
      <c r="BI95" s="418">
        <f t="shared" si="186"/>
        <v>585</v>
      </c>
      <c r="BJ95" s="414">
        <f>IF($I95=0,0,VLOOKUP($I95,'Implemente &amp; Waens'!$A:$Z,COLUMN('Implemente &amp; Waens'!M$5),FALSE))</f>
        <v>11.05</v>
      </c>
      <c r="BK95" s="414">
        <f>IF($I95=0,0,VLOOKUP($I95,'Implemente &amp; Waens'!$A:$Z,COLUMN('Implemente &amp; Waens'!N$5),FALSE))</f>
        <v>0</v>
      </c>
      <c r="BL95" s="415">
        <f>SUM(BJ95:BK95)</f>
        <v>11.05</v>
      </c>
      <c r="BM95" s="414">
        <f>IF($I95=0,0,VLOOKUP($I95,'Implemente &amp; Waens'!$A:$Z,COLUMN('Implemente &amp; Waens'!I$5),FALSE)*$E$9/100)</f>
        <v>13.25</v>
      </c>
      <c r="BN95" s="414">
        <f>IF($I95=0,0,VLOOKUP($I95,'Implemente &amp; Waens'!$A:$Z,COLUMN('Implemente &amp; Waens'!J$5),FALSE))</f>
        <v>2.4500000000000002</v>
      </c>
      <c r="BO95" s="414">
        <f>IF($I95=0,0,VLOOKUP($I95,'Implemente &amp; Waens'!$A:$Z,COLUMN('Implemente &amp; Waens'!K$5),FALSE)/$G$8*$E$8)</f>
        <v>17</v>
      </c>
      <c r="BP95" s="415">
        <f>SUM(BM95:BO95)</f>
        <v>32.700000000000003</v>
      </c>
      <c r="BQ95" s="416">
        <f>SUM(BL95,BP95)</f>
        <v>43.75</v>
      </c>
    </row>
    <row r="96" spans="2:69">
      <c r="B96" s="427"/>
      <c r="C96" s="731" t="s">
        <v>1215</v>
      </c>
      <c r="D96" s="432">
        <f>'Bakkies &amp; Vragmotors'!$A$229</f>
        <v>229</v>
      </c>
      <c r="E96" s="1046" t="str">
        <f>IF($D96=0,0,VLOOKUP($D96,'Bakkies &amp; Vragmotors'!$A:$AA,COLUMN('Bakkies &amp; Vragmotors'!D$5),FALSE))</f>
        <v>Land Cruiser 79 4.5D-4D LX V8</v>
      </c>
      <c r="F96" s="1046"/>
      <c r="G96" s="1046"/>
      <c r="H96" s="433" t="str">
        <f>IF($D96=0,0,VLOOKUP($D96,'Bakkies &amp; Vragmotors'!$A:$AA,COLUMN('Bakkies &amp; Vragmotors'!K$5),FALSE))</f>
        <v>Diesel</v>
      </c>
      <c r="I96" s="398"/>
      <c r="J96" s="400">
        <f>IF($I96=0,0,VLOOKUP($I96,'Implemente &amp; Waens'!$A:$Z,COLUMN('Implemente &amp; Waens'!C$5),FALSE))</f>
        <v>0</v>
      </c>
      <c r="K96" s="874">
        <v>60</v>
      </c>
      <c r="L96" s="876">
        <v>0.9</v>
      </c>
      <c r="M96" s="428">
        <f t="shared" ref="M96:M101" si="207">IF($L96=0,0,1/K96*100/L96)</f>
        <v>1.8518518518518519</v>
      </c>
      <c r="N96" s="877">
        <v>1</v>
      </c>
      <c r="O96" s="401"/>
      <c r="P96" s="915">
        <f t="shared" si="197"/>
        <v>6.0000000000000018</v>
      </c>
      <c r="Q96" s="915">
        <f t="shared" si="198"/>
        <v>7.9000000000000012</v>
      </c>
      <c r="R96" s="915">
        <f t="shared" si="199"/>
        <v>8.8750000000000018</v>
      </c>
      <c r="S96" s="923">
        <f t="shared" si="200"/>
        <v>9.8500000000000014</v>
      </c>
      <c r="T96" s="917">
        <f t="shared" ref="T96:T103" si="208">AL96</f>
        <v>0.13900000000000001</v>
      </c>
      <c r="U96" s="919">
        <f t="shared" ref="U96:U103" si="209">AM96</f>
        <v>1.7097000000000002</v>
      </c>
      <c r="V96" s="923">
        <f t="shared" si="203"/>
        <v>11.559700000000001</v>
      </c>
      <c r="X96" s="404">
        <f t="shared" ref="X96:X101" si="210">BB96</f>
        <v>4.4097000000000008</v>
      </c>
      <c r="Y96" s="405">
        <f t="shared" ref="Y96:Z103" si="211">BF96</f>
        <v>7.15</v>
      </c>
      <c r="Z96" s="406">
        <f t="shared" si="211"/>
        <v>11.559700000000001</v>
      </c>
      <c r="AA96" s="404">
        <f t="shared" si="188"/>
        <v>0</v>
      </c>
      <c r="AB96" s="405">
        <f t="shared" si="189"/>
        <v>0</v>
      </c>
      <c r="AC96" s="407">
        <f t="shared" si="190"/>
        <v>0</v>
      </c>
      <c r="AD96" s="408">
        <f t="shared" si="204"/>
        <v>9.8500000000000014</v>
      </c>
      <c r="AE96" s="409">
        <f>Z96+AC96</f>
        <v>11.559700000000001</v>
      </c>
      <c r="AF96" s="410">
        <f t="shared" si="184"/>
        <v>1</v>
      </c>
      <c r="AG96" s="411">
        <f t="shared" si="205"/>
        <v>9.8500000000000014</v>
      </c>
      <c r="AH96" s="412">
        <f t="shared" ref="AH96:AH103" si="212">AU96</f>
        <v>11.559700000000001</v>
      </c>
      <c r="AJ96" s="765">
        <v>1</v>
      </c>
      <c r="AL96" s="413">
        <f t="shared" si="206"/>
        <v>0.13900000000000001</v>
      </c>
      <c r="AM96" s="414">
        <f t="shared" si="191"/>
        <v>1.7097000000000002</v>
      </c>
      <c r="AN96" s="414">
        <f t="shared" si="192"/>
        <v>2.1</v>
      </c>
      <c r="AO96" s="414">
        <f t="shared" si="193"/>
        <v>0.60000000000000009</v>
      </c>
      <c r="AP96" s="415">
        <f t="shared" ref="AP96:AP101" si="213">SUM(AM96:AO96)</f>
        <v>4.4097000000000008</v>
      </c>
      <c r="AQ96" s="414">
        <f t="shared" si="194"/>
        <v>3.8</v>
      </c>
      <c r="AR96" s="414">
        <f t="shared" si="195"/>
        <v>1.4000000000000001</v>
      </c>
      <c r="AS96" s="414">
        <f t="shared" si="196"/>
        <v>1.9500000000000002</v>
      </c>
      <c r="AT96" s="415">
        <f t="shared" ref="AT96:AT101" si="214">SUM(AQ96:AS96)</f>
        <v>7.15</v>
      </c>
      <c r="AU96" s="416">
        <f t="shared" ref="AU96:AU101" si="215">AP96+AT96</f>
        <v>11.559700000000001</v>
      </c>
      <c r="AV96" s="417"/>
      <c r="AW96" s="418">
        <f t="shared" si="185"/>
        <v>229</v>
      </c>
      <c r="AX96" s="413">
        <f>IF($D96="",0,VLOOKUP($D96,'Bakkies &amp; Vragmotors'!$A:$AB,COLUMN('Bakkies &amp; Vragmotors'!I$5),FALSE)*AJ96)</f>
        <v>13.9</v>
      </c>
      <c r="AY96" s="414">
        <f>AX96*IF(H96="Petrol",#REF!,$E$7)/100</f>
        <v>1.7097000000000002</v>
      </c>
      <c r="AZ96" s="414">
        <f>IF($D96="",0,VLOOKUP($D96,'Bakkies &amp; Vragmotors'!$A:$AB,COLUMN('Bakkies &amp; Vragmotors'!Q$5),FALSE))</f>
        <v>2.1</v>
      </c>
      <c r="BA96" s="414">
        <f>IF($D96="",0,VLOOKUP($D96,'Bakkies &amp; Vragmotors'!$A:$AB,COLUMN('Bakkies &amp; Vragmotors'!R$5),FALSE))</f>
        <v>0.60000000000000009</v>
      </c>
      <c r="BB96" s="415">
        <f t="shared" ref="BB96:BB101" si="216">SUM(AY96:BA96)</f>
        <v>4.4097000000000008</v>
      </c>
      <c r="BC96" s="414">
        <f>IF($D96="",0,VLOOKUP($D96,'Bakkies &amp; Vragmotors'!$A:$AB,COLUMN('Bakkies &amp; Vragmotors'!L$5),FALSE)*$E$9/100)</f>
        <v>3.8</v>
      </c>
      <c r="BD96" s="414">
        <f>IF($D96="",0,VLOOKUP($D96,'Bakkies &amp; Vragmotors'!$A:$AB,COLUMN('Bakkies &amp; Vragmotors'!M$5),FALSE))</f>
        <v>1.4000000000000001</v>
      </c>
      <c r="BE96" s="414">
        <f>IF($D96="",0,VLOOKUP($D96,'Bakkies &amp; Vragmotors'!$A:$AB,COLUMN('Bakkies &amp; Vragmotors'!N$5),FALSE)/$G$8*$E$8)</f>
        <v>1.9500000000000002</v>
      </c>
      <c r="BF96" s="415">
        <f t="shared" ref="BF96:BF101" si="217">SUM(BC96:BE96)</f>
        <v>7.15</v>
      </c>
      <c r="BG96" s="416">
        <f t="shared" ref="BG96:BG101" si="218">BB96+BF96</f>
        <v>11.559700000000001</v>
      </c>
      <c r="BH96" s="417"/>
      <c r="BI96" s="418">
        <f t="shared" si="186"/>
        <v>0</v>
      </c>
      <c r="BJ96" s="414">
        <f>IF($I96=0,0,VLOOKUP($I96,'Implemente &amp; Waens'!$A:$Z,COLUMN('Implemente &amp; Waens'!M$5),FALSE))</f>
        <v>0</v>
      </c>
      <c r="BK96" s="414">
        <f>IF($I96=0,0,VLOOKUP($I96,'Implemente &amp; Waens'!$A:$Z,COLUMN('Implemente &amp; Waens'!N$5),FALSE))</f>
        <v>0</v>
      </c>
      <c r="BL96" s="415">
        <f t="shared" ref="BL96:BL101" si="219">SUM(BJ96:BK96)</f>
        <v>0</v>
      </c>
      <c r="BM96" s="414">
        <f>IF($I96=0,0,VLOOKUP($I96,'Implemente &amp; Waens'!$A:$Z,COLUMN('Implemente &amp; Waens'!I$5),FALSE)*$E$9/100)</f>
        <v>0</v>
      </c>
      <c r="BN96" s="414">
        <f>IF($I96=0,0,VLOOKUP($I96,'Implemente &amp; Waens'!$A:$Z,COLUMN('Implemente &amp; Waens'!J$5),FALSE))</f>
        <v>0</v>
      </c>
      <c r="BO96" s="414">
        <f>IF($I96=0,0,VLOOKUP($I96,'Implemente &amp; Waens'!$A:$Z,COLUMN('Implemente &amp; Waens'!K$5),FALSE)/$G$8*$E$8)</f>
        <v>0</v>
      </c>
      <c r="BP96" s="415">
        <f t="shared" ref="BP96:BP101" si="220">SUM(BM96:BO96)</f>
        <v>0</v>
      </c>
      <c r="BQ96" s="416">
        <f t="shared" ref="BQ96:BQ101" si="221">SUM(BL96,BP96)</f>
        <v>0</v>
      </c>
    </row>
    <row r="97" spans="2:69">
      <c r="B97" s="427"/>
      <c r="C97" s="731" t="s">
        <v>1215</v>
      </c>
      <c r="D97" s="432">
        <f>'Bakkies &amp; Vragmotors'!$A$233</f>
        <v>233</v>
      </c>
      <c r="E97" s="1046" t="str">
        <f>IF($D97=0,0,VLOOKUP($D97,'Bakkies &amp; Vragmotors'!$A:$AA,COLUMN('Bakkies &amp; Vragmotors'!D$5),FALSE))</f>
        <v>Land Cruiser 76 4.5D-4D LX V8 Station Wagon</v>
      </c>
      <c r="F97" s="1046"/>
      <c r="G97" s="1046"/>
      <c r="H97" s="433" t="str">
        <f>IF($D97=0,0,VLOOKUP($D97,'Bakkies &amp; Vragmotors'!$A:$AA,COLUMN('Bakkies &amp; Vragmotors'!K$5),FALSE))</f>
        <v>Diesel</v>
      </c>
      <c r="I97" s="398"/>
      <c r="J97" s="400">
        <f>IF($I97=0,0,VLOOKUP($I97,'Implemente &amp; Waens'!$A:$Z,COLUMN('Implemente &amp; Waens'!C$5),FALSE))</f>
        <v>0</v>
      </c>
      <c r="K97" s="728"/>
      <c r="L97" s="730"/>
      <c r="M97" s="428">
        <f t="shared" si="207"/>
        <v>0</v>
      </c>
      <c r="N97" s="877">
        <v>1</v>
      </c>
      <c r="O97" s="401"/>
      <c r="P97" s="915">
        <f t="shared" si="197"/>
        <v>6.6750000000000007</v>
      </c>
      <c r="Q97" s="915">
        <f t="shared" si="198"/>
        <v>8.8000000000000007</v>
      </c>
      <c r="R97" s="915">
        <f t="shared" si="199"/>
        <v>9.8750000000000018</v>
      </c>
      <c r="S97" s="923">
        <f t="shared" si="200"/>
        <v>10.950000000000001</v>
      </c>
      <c r="T97" s="917">
        <f t="shared" si="208"/>
        <v>0.13900000000000001</v>
      </c>
      <c r="U97" s="919">
        <f t="shared" si="209"/>
        <v>1.7097000000000002</v>
      </c>
      <c r="V97" s="923">
        <f t="shared" si="203"/>
        <v>12.659700000000001</v>
      </c>
      <c r="X97" s="404">
        <f t="shared" si="210"/>
        <v>4.7097000000000007</v>
      </c>
      <c r="Y97" s="405">
        <f t="shared" si="211"/>
        <v>7.9499999999999993</v>
      </c>
      <c r="Z97" s="406">
        <f t="shared" si="211"/>
        <v>12.659700000000001</v>
      </c>
      <c r="AA97" s="404">
        <f t="shared" si="188"/>
        <v>0</v>
      </c>
      <c r="AB97" s="405">
        <f t="shared" si="189"/>
        <v>0</v>
      </c>
      <c r="AC97" s="407">
        <f t="shared" si="190"/>
        <v>0</v>
      </c>
      <c r="AD97" s="408">
        <f t="shared" si="204"/>
        <v>10.950000000000001</v>
      </c>
      <c r="AE97" s="409">
        <f t="shared" ref="AE97:AE103" si="222">Z97+AC97</f>
        <v>12.659700000000001</v>
      </c>
      <c r="AF97" s="410">
        <f t="shared" si="184"/>
        <v>1</v>
      </c>
      <c r="AG97" s="411">
        <f t="shared" si="205"/>
        <v>10.950000000000001</v>
      </c>
      <c r="AH97" s="412">
        <f t="shared" si="212"/>
        <v>12.659700000000001</v>
      </c>
      <c r="AJ97" s="765">
        <v>1</v>
      </c>
      <c r="AL97" s="413">
        <f t="shared" si="206"/>
        <v>0.13900000000000001</v>
      </c>
      <c r="AM97" s="414">
        <f t="shared" si="191"/>
        <v>1.7097000000000002</v>
      </c>
      <c r="AN97" s="414">
        <f t="shared" si="192"/>
        <v>2.35</v>
      </c>
      <c r="AO97" s="414">
        <f t="shared" si="193"/>
        <v>0.65</v>
      </c>
      <c r="AP97" s="415">
        <f t="shared" si="213"/>
        <v>4.7097000000000007</v>
      </c>
      <c r="AQ97" s="414">
        <f t="shared" si="194"/>
        <v>4.25</v>
      </c>
      <c r="AR97" s="414">
        <f t="shared" si="195"/>
        <v>1.55</v>
      </c>
      <c r="AS97" s="414">
        <f t="shared" si="196"/>
        <v>2.15</v>
      </c>
      <c r="AT97" s="415">
        <f t="shared" si="214"/>
        <v>7.9499999999999993</v>
      </c>
      <c r="AU97" s="416">
        <f t="shared" si="215"/>
        <v>12.659700000000001</v>
      </c>
      <c r="AV97" s="417"/>
      <c r="AW97" s="418">
        <f t="shared" si="185"/>
        <v>233</v>
      </c>
      <c r="AX97" s="413">
        <f>IF($D97="",0,VLOOKUP($D97,'Bakkies &amp; Vragmotors'!$A:$AB,COLUMN('Bakkies &amp; Vragmotors'!I$5),FALSE)*AJ97)</f>
        <v>13.9</v>
      </c>
      <c r="AY97" s="414">
        <f>AX97*IF(H97="Petrol",#REF!,$E$7)/100</f>
        <v>1.7097000000000002</v>
      </c>
      <c r="AZ97" s="414">
        <f>IF($D97="",0,VLOOKUP($D97,'Bakkies &amp; Vragmotors'!$A:$AB,COLUMN('Bakkies &amp; Vragmotors'!Q$5),FALSE))</f>
        <v>2.35</v>
      </c>
      <c r="BA97" s="414">
        <f>IF($D97="",0,VLOOKUP($D97,'Bakkies &amp; Vragmotors'!$A:$AB,COLUMN('Bakkies &amp; Vragmotors'!R$5),FALSE))</f>
        <v>0.65</v>
      </c>
      <c r="BB97" s="415">
        <f t="shared" si="216"/>
        <v>4.7097000000000007</v>
      </c>
      <c r="BC97" s="414">
        <f>IF($D97="",0,VLOOKUP($D97,'Bakkies &amp; Vragmotors'!$A:$AB,COLUMN('Bakkies &amp; Vragmotors'!L$5),FALSE)*$E$9/100)</f>
        <v>4.25</v>
      </c>
      <c r="BD97" s="414">
        <f>IF($D97="",0,VLOOKUP($D97,'Bakkies &amp; Vragmotors'!$A:$AB,COLUMN('Bakkies &amp; Vragmotors'!M$5),FALSE))</f>
        <v>1.55</v>
      </c>
      <c r="BE97" s="414">
        <f>IF($D97="",0,VLOOKUP($D97,'Bakkies &amp; Vragmotors'!$A:$AB,COLUMN('Bakkies &amp; Vragmotors'!N$5),FALSE)/$G$8*$E$8)</f>
        <v>2.15</v>
      </c>
      <c r="BF97" s="415">
        <f t="shared" si="217"/>
        <v>7.9499999999999993</v>
      </c>
      <c r="BG97" s="416">
        <f t="shared" si="218"/>
        <v>12.659700000000001</v>
      </c>
      <c r="BH97" s="417"/>
      <c r="BI97" s="418">
        <f t="shared" si="186"/>
        <v>0</v>
      </c>
      <c r="BJ97" s="414">
        <f>IF($I97=0,0,VLOOKUP($I97,'Implemente &amp; Waens'!$A:$Z,COLUMN('Implemente &amp; Waens'!M$5),FALSE))</f>
        <v>0</v>
      </c>
      <c r="BK97" s="414">
        <f>IF($I97=0,0,VLOOKUP($I97,'Implemente &amp; Waens'!$A:$Z,COLUMN('Implemente &amp; Waens'!N$5),FALSE))</f>
        <v>0</v>
      </c>
      <c r="BL97" s="415">
        <f t="shared" si="219"/>
        <v>0</v>
      </c>
      <c r="BM97" s="414">
        <f>IF($I97=0,0,VLOOKUP($I97,'Implemente &amp; Waens'!$A:$Z,COLUMN('Implemente &amp; Waens'!I$5),FALSE)*$E$9/100)</f>
        <v>0</v>
      </c>
      <c r="BN97" s="414">
        <f>IF($I97=0,0,VLOOKUP($I97,'Implemente &amp; Waens'!$A:$Z,COLUMN('Implemente &amp; Waens'!J$5),FALSE))</f>
        <v>0</v>
      </c>
      <c r="BO97" s="414">
        <f>IF($I97=0,0,VLOOKUP($I97,'Implemente &amp; Waens'!$A:$Z,COLUMN('Implemente &amp; Waens'!K$5),FALSE)/$G$8*$E$8)</f>
        <v>0</v>
      </c>
      <c r="BP97" s="415">
        <f t="shared" si="220"/>
        <v>0</v>
      </c>
      <c r="BQ97" s="416">
        <f t="shared" si="221"/>
        <v>0</v>
      </c>
    </row>
    <row r="98" spans="2:69">
      <c r="B98" s="427"/>
      <c r="C98" s="731"/>
      <c r="D98" s="432"/>
      <c r="E98" s="1046">
        <f>IF($D98=0,0,VLOOKUP($D98,'Bakkies &amp; Vragmotors'!$A:$AA,COLUMN('Bakkies &amp; Vragmotors'!D$5),FALSE))</f>
        <v>0</v>
      </c>
      <c r="F98" s="1046"/>
      <c r="G98" s="1046"/>
      <c r="H98" s="433">
        <f>IF($D98=0,0,VLOOKUP($D98,'Bakkies &amp; Vragmotors'!$A:$AA,COLUMN('Bakkies &amp; Vragmotors'!K$5),FALSE))</f>
        <v>0</v>
      </c>
      <c r="I98" s="398"/>
      <c r="J98" s="400">
        <f>IF($I98=0,0,VLOOKUP($I98,'Implemente &amp; Waens'!$A:$Z,COLUMN('Implemente &amp; Waens'!C$5),FALSE))</f>
        <v>0</v>
      </c>
      <c r="K98" s="728"/>
      <c r="L98" s="730"/>
      <c r="M98" s="428">
        <f t="shared" si="207"/>
        <v>0</v>
      </c>
      <c r="N98" s="733"/>
      <c r="O98" s="401"/>
      <c r="P98" s="915">
        <f t="shared" si="197"/>
        <v>0</v>
      </c>
      <c r="Q98" s="915">
        <f t="shared" si="198"/>
        <v>0</v>
      </c>
      <c r="R98" s="915">
        <f t="shared" si="199"/>
        <v>0</v>
      </c>
      <c r="S98" s="923">
        <f t="shared" si="200"/>
        <v>0</v>
      </c>
      <c r="T98" s="917">
        <f t="shared" si="208"/>
        <v>0</v>
      </c>
      <c r="U98" s="919">
        <f t="shared" si="209"/>
        <v>0</v>
      </c>
      <c r="V98" s="923">
        <f t="shared" si="203"/>
        <v>0</v>
      </c>
      <c r="X98" s="404">
        <f t="shared" si="210"/>
        <v>0</v>
      </c>
      <c r="Y98" s="405">
        <f t="shared" si="211"/>
        <v>0</v>
      </c>
      <c r="Z98" s="406">
        <f t="shared" si="211"/>
        <v>0</v>
      </c>
      <c r="AA98" s="404">
        <f t="shared" si="188"/>
        <v>0</v>
      </c>
      <c r="AB98" s="405">
        <f t="shared" si="189"/>
        <v>0</v>
      </c>
      <c r="AC98" s="407">
        <f t="shared" si="190"/>
        <v>0</v>
      </c>
      <c r="AD98" s="408">
        <f t="shared" si="204"/>
        <v>0</v>
      </c>
      <c r="AE98" s="409">
        <f t="shared" si="222"/>
        <v>0</v>
      </c>
      <c r="AF98" s="410">
        <f t="shared" si="184"/>
        <v>0</v>
      </c>
      <c r="AG98" s="411">
        <f t="shared" si="205"/>
        <v>0</v>
      </c>
      <c r="AH98" s="412">
        <f t="shared" si="212"/>
        <v>0</v>
      </c>
      <c r="AJ98" s="765">
        <v>1</v>
      </c>
      <c r="AL98" s="413">
        <f t="shared" si="206"/>
        <v>0</v>
      </c>
      <c r="AM98" s="414">
        <f t="shared" si="191"/>
        <v>0</v>
      </c>
      <c r="AN98" s="414">
        <f t="shared" si="192"/>
        <v>0</v>
      </c>
      <c r="AO98" s="414">
        <f t="shared" si="193"/>
        <v>0</v>
      </c>
      <c r="AP98" s="415">
        <f t="shared" si="213"/>
        <v>0</v>
      </c>
      <c r="AQ98" s="414">
        <f t="shared" si="194"/>
        <v>0</v>
      </c>
      <c r="AR98" s="414">
        <f t="shared" si="195"/>
        <v>0</v>
      </c>
      <c r="AS98" s="414">
        <f t="shared" si="196"/>
        <v>0</v>
      </c>
      <c r="AT98" s="415">
        <f t="shared" si="214"/>
        <v>0</v>
      </c>
      <c r="AU98" s="416">
        <f t="shared" si="215"/>
        <v>0</v>
      </c>
      <c r="AV98" s="417"/>
      <c r="AW98" s="418">
        <f t="shared" si="185"/>
        <v>0</v>
      </c>
      <c r="AX98" s="413">
        <f>IF($D98="",0,VLOOKUP($D98,'Bakkies &amp; Vragmotors'!$A:$AB,COLUMN('Bakkies &amp; Vragmotors'!I$5),FALSE)*AJ98)</f>
        <v>0</v>
      </c>
      <c r="AY98" s="414">
        <f>AX98*IF(H98="Petrol",#REF!,$E$7)/100</f>
        <v>0</v>
      </c>
      <c r="AZ98" s="414">
        <f>IF($D98="",0,VLOOKUP($D98,'Bakkies &amp; Vragmotors'!$A:$AB,COLUMN('Bakkies &amp; Vragmotors'!Q$5),FALSE))</f>
        <v>0</v>
      </c>
      <c r="BA98" s="414">
        <f>IF($D98="",0,VLOOKUP($D98,'Bakkies &amp; Vragmotors'!$A:$AB,COLUMN('Bakkies &amp; Vragmotors'!R$5),FALSE))</f>
        <v>0</v>
      </c>
      <c r="BB98" s="415">
        <f t="shared" si="216"/>
        <v>0</v>
      </c>
      <c r="BC98" s="414">
        <f>IF($D98="",0,VLOOKUP($D98,'Bakkies &amp; Vragmotors'!$A:$AB,COLUMN('Bakkies &amp; Vragmotors'!L$5),FALSE)*$E$9/100)</f>
        <v>0</v>
      </c>
      <c r="BD98" s="414">
        <f>IF($D98="",0,VLOOKUP($D98,'Bakkies &amp; Vragmotors'!$A:$AB,COLUMN('Bakkies &amp; Vragmotors'!M$5),FALSE))</f>
        <v>0</v>
      </c>
      <c r="BE98" s="414">
        <f>IF($D98="",0,VLOOKUP($D98,'Bakkies &amp; Vragmotors'!$A:$AB,COLUMN('Bakkies &amp; Vragmotors'!N$5),FALSE)/$G$8*$E$8)</f>
        <v>0</v>
      </c>
      <c r="BF98" s="415">
        <f t="shared" si="217"/>
        <v>0</v>
      </c>
      <c r="BG98" s="416">
        <f t="shared" si="218"/>
        <v>0</v>
      </c>
      <c r="BH98" s="417"/>
      <c r="BI98" s="418">
        <f t="shared" si="186"/>
        <v>0</v>
      </c>
      <c r="BJ98" s="414">
        <f>IF($I98=0,0,VLOOKUP($I98,'Implemente &amp; Waens'!$A:$Z,COLUMN('Implemente &amp; Waens'!M$5),FALSE))</f>
        <v>0</v>
      </c>
      <c r="BK98" s="414">
        <f>IF($I98=0,0,VLOOKUP($I98,'Implemente &amp; Waens'!$A:$Z,COLUMN('Implemente &amp; Waens'!N$5),FALSE))</f>
        <v>0</v>
      </c>
      <c r="BL98" s="415">
        <f t="shared" si="219"/>
        <v>0</v>
      </c>
      <c r="BM98" s="414">
        <f>IF($I98=0,0,VLOOKUP($I98,'Implemente &amp; Waens'!$A:$Z,COLUMN('Implemente &amp; Waens'!I$5),FALSE)*$E$9/100)</f>
        <v>0</v>
      </c>
      <c r="BN98" s="414">
        <f>IF($I98=0,0,VLOOKUP($I98,'Implemente &amp; Waens'!$A:$Z,COLUMN('Implemente &amp; Waens'!J$5),FALSE))</f>
        <v>0</v>
      </c>
      <c r="BO98" s="414">
        <f>IF($I98=0,0,VLOOKUP($I98,'Implemente &amp; Waens'!$A:$Z,COLUMN('Implemente &amp; Waens'!K$5),FALSE)/$G$8*$E$8)</f>
        <v>0</v>
      </c>
      <c r="BP98" s="415">
        <f t="shared" si="220"/>
        <v>0</v>
      </c>
      <c r="BQ98" s="416">
        <f t="shared" si="221"/>
        <v>0</v>
      </c>
    </row>
    <row r="99" spans="2:69">
      <c r="B99" s="427"/>
      <c r="C99" s="731"/>
      <c r="D99" s="432"/>
      <c r="E99" s="1046">
        <f>IF($D99=0,0,VLOOKUP($D99,'Bakkies &amp; Vragmotors'!$A:$AA,COLUMN('Bakkies &amp; Vragmotors'!D$5),FALSE))</f>
        <v>0</v>
      </c>
      <c r="F99" s="1046"/>
      <c r="G99" s="1046"/>
      <c r="H99" s="433">
        <f>IF($D99=0,0,VLOOKUP($D99,'Bakkies &amp; Vragmotors'!$A:$AA,COLUMN('Bakkies &amp; Vragmotors'!K$5),FALSE))</f>
        <v>0</v>
      </c>
      <c r="I99" s="398"/>
      <c r="J99" s="400">
        <f>IF($I99=0,0,VLOOKUP($I99,'Implemente &amp; Waens'!$A:$Z,COLUMN('Implemente &amp; Waens'!C$5),FALSE))</f>
        <v>0</v>
      </c>
      <c r="K99" s="728"/>
      <c r="L99" s="730"/>
      <c r="M99" s="428">
        <f t="shared" si="207"/>
        <v>0</v>
      </c>
      <c r="N99" s="733"/>
      <c r="O99" s="401"/>
      <c r="P99" s="915">
        <f t="shared" si="197"/>
        <v>0</v>
      </c>
      <c r="Q99" s="915">
        <f t="shared" si="198"/>
        <v>0</v>
      </c>
      <c r="R99" s="915">
        <f t="shared" si="199"/>
        <v>0</v>
      </c>
      <c r="S99" s="923">
        <f t="shared" si="200"/>
        <v>0</v>
      </c>
      <c r="T99" s="917">
        <f t="shared" si="208"/>
        <v>0</v>
      </c>
      <c r="U99" s="919">
        <f t="shared" si="209"/>
        <v>0</v>
      </c>
      <c r="V99" s="923">
        <f t="shared" si="203"/>
        <v>0</v>
      </c>
      <c r="X99" s="404">
        <f t="shared" si="210"/>
        <v>0</v>
      </c>
      <c r="Y99" s="405">
        <f t="shared" si="211"/>
        <v>0</v>
      </c>
      <c r="Z99" s="406">
        <f t="shared" si="211"/>
        <v>0</v>
      </c>
      <c r="AA99" s="404">
        <f t="shared" si="188"/>
        <v>0</v>
      </c>
      <c r="AB99" s="405">
        <f t="shared" si="189"/>
        <v>0</v>
      </c>
      <c r="AC99" s="407">
        <f t="shared" si="190"/>
        <v>0</v>
      </c>
      <c r="AD99" s="408">
        <f t="shared" si="204"/>
        <v>0</v>
      </c>
      <c r="AE99" s="409">
        <f t="shared" si="222"/>
        <v>0</v>
      </c>
      <c r="AF99" s="410">
        <f t="shared" si="184"/>
        <v>0</v>
      </c>
      <c r="AG99" s="411">
        <f t="shared" si="205"/>
        <v>0</v>
      </c>
      <c r="AH99" s="412">
        <f t="shared" si="212"/>
        <v>0</v>
      </c>
      <c r="AJ99" s="765">
        <v>1</v>
      </c>
      <c r="AL99" s="413">
        <f t="shared" si="206"/>
        <v>0</v>
      </c>
      <c r="AM99" s="414">
        <f t="shared" si="191"/>
        <v>0</v>
      </c>
      <c r="AN99" s="414">
        <f t="shared" si="192"/>
        <v>0</v>
      </c>
      <c r="AO99" s="414">
        <f t="shared" si="193"/>
        <v>0</v>
      </c>
      <c r="AP99" s="415">
        <f t="shared" si="213"/>
        <v>0</v>
      </c>
      <c r="AQ99" s="414">
        <f t="shared" si="194"/>
        <v>0</v>
      </c>
      <c r="AR99" s="414">
        <f t="shared" si="195"/>
        <v>0</v>
      </c>
      <c r="AS99" s="414">
        <f t="shared" si="196"/>
        <v>0</v>
      </c>
      <c r="AT99" s="415">
        <f t="shared" si="214"/>
        <v>0</v>
      </c>
      <c r="AU99" s="416">
        <f t="shared" si="215"/>
        <v>0</v>
      </c>
      <c r="AV99" s="417"/>
      <c r="AW99" s="418">
        <f t="shared" si="185"/>
        <v>0</v>
      </c>
      <c r="AX99" s="413">
        <f>IF($D99="",0,VLOOKUP($D99,'Bakkies &amp; Vragmotors'!$A:$AB,COLUMN('Bakkies &amp; Vragmotors'!I$5),FALSE)*AJ99)</f>
        <v>0</v>
      </c>
      <c r="AY99" s="414">
        <f>AX99*IF(H99="Petrol",#REF!,$E$7)/100</f>
        <v>0</v>
      </c>
      <c r="AZ99" s="414">
        <f>IF($D99="",0,VLOOKUP($D99,'Bakkies &amp; Vragmotors'!$A:$AB,COLUMN('Bakkies &amp; Vragmotors'!Q$5),FALSE))</f>
        <v>0</v>
      </c>
      <c r="BA99" s="414">
        <f>IF($D99="",0,VLOOKUP($D99,'Bakkies &amp; Vragmotors'!$A:$AB,COLUMN('Bakkies &amp; Vragmotors'!R$5),FALSE))</f>
        <v>0</v>
      </c>
      <c r="BB99" s="415">
        <f t="shared" si="216"/>
        <v>0</v>
      </c>
      <c r="BC99" s="414">
        <f>IF($D99="",0,VLOOKUP($D99,'Bakkies &amp; Vragmotors'!$A:$AB,COLUMN('Bakkies &amp; Vragmotors'!L$5),FALSE)*$E$9/100)</f>
        <v>0</v>
      </c>
      <c r="BD99" s="414">
        <f>IF($D99="",0,VLOOKUP($D99,'Bakkies &amp; Vragmotors'!$A:$AB,COLUMN('Bakkies &amp; Vragmotors'!M$5),FALSE))</f>
        <v>0</v>
      </c>
      <c r="BE99" s="414">
        <f>IF($D99="",0,VLOOKUP($D99,'Bakkies &amp; Vragmotors'!$A:$AB,COLUMN('Bakkies &amp; Vragmotors'!N$5),FALSE)/$G$8*$E$8)</f>
        <v>0</v>
      </c>
      <c r="BF99" s="415">
        <f t="shared" si="217"/>
        <v>0</v>
      </c>
      <c r="BG99" s="416">
        <f t="shared" si="218"/>
        <v>0</v>
      </c>
      <c r="BH99" s="417"/>
      <c r="BI99" s="418">
        <f t="shared" si="186"/>
        <v>0</v>
      </c>
      <c r="BJ99" s="414">
        <f>IF($I99=0,0,VLOOKUP($I99,'Implemente &amp; Waens'!$A:$Z,COLUMN('Implemente &amp; Waens'!M$5),FALSE))</f>
        <v>0</v>
      </c>
      <c r="BK99" s="414">
        <f>IF($I99=0,0,VLOOKUP($I99,'Implemente &amp; Waens'!$A:$Z,COLUMN('Implemente &amp; Waens'!N$5),FALSE))</f>
        <v>0</v>
      </c>
      <c r="BL99" s="415">
        <f t="shared" si="219"/>
        <v>0</v>
      </c>
      <c r="BM99" s="414">
        <f>IF($I99=0,0,VLOOKUP($I99,'Implemente &amp; Waens'!$A:$Z,COLUMN('Implemente &amp; Waens'!I$5),FALSE)*$E$9/100)</f>
        <v>0</v>
      </c>
      <c r="BN99" s="414">
        <f>IF($I99=0,0,VLOOKUP($I99,'Implemente &amp; Waens'!$A:$Z,COLUMN('Implemente &amp; Waens'!J$5),FALSE))</f>
        <v>0</v>
      </c>
      <c r="BO99" s="414">
        <f>IF($I99=0,0,VLOOKUP($I99,'Implemente &amp; Waens'!$A:$Z,COLUMN('Implemente &amp; Waens'!K$5),FALSE)/$G$8*$E$8)</f>
        <v>0</v>
      </c>
      <c r="BP99" s="415">
        <f t="shared" si="220"/>
        <v>0</v>
      </c>
      <c r="BQ99" s="416">
        <f t="shared" si="221"/>
        <v>0</v>
      </c>
    </row>
    <row r="100" spans="2:69">
      <c r="B100" s="427"/>
      <c r="C100" s="731"/>
      <c r="D100" s="432"/>
      <c r="E100" s="1046">
        <f>IF($D100=0,0,VLOOKUP($D100,'Bakkies &amp; Vragmotors'!$A:$AA,COLUMN('Bakkies &amp; Vragmotors'!D$5),FALSE))</f>
        <v>0</v>
      </c>
      <c r="F100" s="1046"/>
      <c r="G100" s="1046"/>
      <c r="H100" s="433">
        <f>IF($D100=0,0,VLOOKUP($D100,'Bakkies &amp; Vragmotors'!$A:$AA,COLUMN('Bakkies &amp; Vragmotors'!K$5),FALSE))</f>
        <v>0</v>
      </c>
      <c r="I100" s="398"/>
      <c r="J100" s="400">
        <f>IF($I100=0,0,VLOOKUP($I100,'Implemente &amp; Waens'!$A:$Z,COLUMN('Implemente &amp; Waens'!C$5),FALSE))</f>
        <v>0</v>
      </c>
      <c r="K100" s="728"/>
      <c r="L100" s="730"/>
      <c r="M100" s="428">
        <f t="shared" si="207"/>
        <v>0</v>
      </c>
      <c r="N100" s="733"/>
      <c r="O100" s="401"/>
      <c r="P100" s="915">
        <f t="shared" si="197"/>
        <v>0</v>
      </c>
      <c r="Q100" s="915">
        <f t="shared" si="198"/>
        <v>0</v>
      </c>
      <c r="R100" s="915">
        <f t="shared" si="199"/>
        <v>0</v>
      </c>
      <c r="S100" s="923">
        <f t="shared" si="200"/>
        <v>0</v>
      </c>
      <c r="T100" s="917">
        <f t="shared" si="208"/>
        <v>0</v>
      </c>
      <c r="U100" s="919">
        <f t="shared" si="209"/>
        <v>0</v>
      </c>
      <c r="V100" s="923">
        <f t="shared" si="203"/>
        <v>0</v>
      </c>
      <c r="X100" s="404">
        <f t="shared" si="210"/>
        <v>0</v>
      </c>
      <c r="Y100" s="405">
        <f t="shared" si="211"/>
        <v>0</v>
      </c>
      <c r="Z100" s="406">
        <f t="shared" si="211"/>
        <v>0</v>
      </c>
      <c r="AA100" s="404">
        <f t="shared" si="188"/>
        <v>0</v>
      </c>
      <c r="AB100" s="405">
        <f t="shared" si="189"/>
        <v>0</v>
      </c>
      <c r="AC100" s="407">
        <f t="shared" si="190"/>
        <v>0</v>
      </c>
      <c r="AD100" s="408">
        <f t="shared" si="204"/>
        <v>0</v>
      </c>
      <c r="AE100" s="409">
        <f t="shared" si="222"/>
        <v>0</v>
      </c>
      <c r="AF100" s="410">
        <f t="shared" si="184"/>
        <v>0</v>
      </c>
      <c r="AG100" s="411">
        <f t="shared" si="205"/>
        <v>0</v>
      </c>
      <c r="AH100" s="412">
        <f t="shared" si="212"/>
        <v>0</v>
      </c>
      <c r="AJ100" s="765">
        <v>1</v>
      </c>
      <c r="AL100" s="413">
        <f t="shared" si="206"/>
        <v>0</v>
      </c>
      <c r="AM100" s="414">
        <f t="shared" si="191"/>
        <v>0</v>
      </c>
      <c r="AN100" s="414">
        <f t="shared" si="192"/>
        <v>0</v>
      </c>
      <c r="AO100" s="414">
        <f t="shared" si="193"/>
        <v>0</v>
      </c>
      <c r="AP100" s="415">
        <f t="shared" si="213"/>
        <v>0</v>
      </c>
      <c r="AQ100" s="414">
        <f t="shared" si="194"/>
        <v>0</v>
      </c>
      <c r="AR100" s="414">
        <f t="shared" si="195"/>
        <v>0</v>
      </c>
      <c r="AS100" s="414">
        <f t="shared" si="196"/>
        <v>0</v>
      </c>
      <c r="AT100" s="415">
        <f t="shared" si="214"/>
        <v>0</v>
      </c>
      <c r="AU100" s="416">
        <f t="shared" si="215"/>
        <v>0</v>
      </c>
      <c r="AV100" s="417"/>
      <c r="AW100" s="418">
        <f t="shared" si="185"/>
        <v>0</v>
      </c>
      <c r="AX100" s="413">
        <f>IF($D100="",0,VLOOKUP($D100,'Bakkies &amp; Vragmotors'!$A:$AB,COLUMN('Bakkies &amp; Vragmotors'!I$5),FALSE)*AJ100)</f>
        <v>0</v>
      </c>
      <c r="AY100" s="414">
        <f>AX100*IF(H100="Petrol",#REF!,$E$7)/100</f>
        <v>0</v>
      </c>
      <c r="AZ100" s="414">
        <f>IF($D100="",0,VLOOKUP($D100,'Bakkies &amp; Vragmotors'!$A:$AB,COLUMN('Bakkies &amp; Vragmotors'!Q$5),FALSE))</f>
        <v>0</v>
      </c>
      <c r="BA100" s="414">
        <f>IF($D100="",0,VLOOKUP($D100,'Bakkies &amp; Vragmotors'!$A:$AB,COLUMN('Bakkies &amp; Vragmotors'!R$5),FALSE))</f>
        <v>0</v>
      </c>
      <c r="BB100" s="415">
        <f t="shared" si="216"/>
        <v>0</v>
      </c>
      <c r="BC100" s="414">
        <f>IF($D100="",0,VLOOKUP($D100,'Bakkies &amp; Vragmotors'!$A:$AB,COLUMN('Bakkies &amp; Vragmotors'!L$5),FALSE)*$E$9/100)</f>
        <v>0</v>
      </c>
      <c r="BD100" s="414">
        <f>IF($D100="",0,VLOOKUP($D100,'Bakkies &amp; Vragmotors'!$A:$AB,COLUMN('Bakkies &amp; Vragmotors'!M$5),FALSE))</f>
        <v>0</v>
      </c>
      <c r="BE100" s="414">
        <f>IF($D100="",0,VLOOKUP($D100,'Bakkies &amp; Vragmotors'!$A:$AB,COLUMN('Bakkies &amp; Vragmotors'!N$5),FALSE)/$G$8*$E$8)</f>
        <v>0</v>
      </c>
      <c r="BF100" s="415">
        <f t="shared" si="217"/>
        <v>0</v>
      </c>
      <c r="BG100" s="416">
        <f t="shared" si="218"/>
        <v>0</v>
      </c>
      <c r="BH100" s="417"/>
      <c r="BI100" s="418">
        <f t="shared" si="186"/>
        <v>0</v>
      </c>
      <c r="BJ100" s="414">
        <f>IF($I100=0,0,VLOOKUP($I100,'Implemente &amp; Waens'!$A:$Z,COLUMN('Implemente &amp; Waens'!M$5),FALSE))</f>
        <v>0</v>
      </c>
      <c r="BK100" s="414">
        <f>IF($I100=0,0,VLOOKUP($I100,'Implemente &amp; Waens'!$A:$Z,COLUMN('Implemente &amp; Waens'!N$5),FALSE))</f>
        <v>0</v>
      </c>
      <c r="BL100" s="415">
        <f t="shared" si="219"/>
        <v>0</v>
      </c>
      <c r="BM100" s="414">
        <f>IF($I100=0,0,VLOOKUP($I100,'Implemente &amp; Waens'!$A:$Z,COLUMN('Implemente &amp; Waens'!I$5),FALSE)*$E$9/100)</f>
        <v>0</v>
      </c>
      <c r="BN100" s="414">
        <f>IF($I100=0,0,VLOOKUP($I100,'Implemente &amp; Waens'!$A:$Z,COLUMN('Implemente &amp; Waens'!J$5),FALSE))</f>
        <v>0</v>
      </c>
      <c r="BO100" s="414">
        <f>IF($I100=0,0,VLOOKUP($I100,'Implemente &amp; Waens'!$A:$Z,COLUMN('Implemente &amp; Waens'!K$5),FALSE)/$G$8*$E$8)</f>
        <v>0</v>
      </c>
      <c r="BP100" s="415">
        <f t="shared" si="220"/>
        <v>0</v>
      </c>
      <c r="BQ100" s="416">
        <f t="shared" si="221"/>
        <v>0</v>
      </c>
    </row>
    <row r="101" spans="2:69">
      <c r="B101" s="427"/>
      <c r="C101" s="731"/>
      <c r="D101" s="432"/>
      <c r="E101" s="1046">
        <f>IF($D101=0,0,VLOOKUP($D101,'Bakkies &amp; Vragmotors'!$A:$AA,COLUMN('Bakkies &amp; Vragmotors'!D$5),FALSE))</f>
        <v>0</v>
      </c>
      <c r="F101" s="1046"/>
      <c r="G101" s="1046"/>
      <c r="H101" s="433">
        <f>IF($D101=0,0,VLOOKUP($D101,'Bakkies &amp; Vragmotors'!$A:$AA,COLUMN('Bakkies &amp; Vragmotors'!K$5),FALSE))</f>
        <v>0</v>
      </c>
      <c r="I101" s="398"/>
      <c r="J101" s="400">
        <f>IF($I101=0,0,VLOOKUP($I101,'Implemente &amp; Waens'!$A:$Z,COLUMN('Implemente &amp; Waens'!C$5),FALSE))</f>
        <v>0</v>
      </c>
      <c r="K101" s="728"/>
      <c r="L101" s="730"/>
      <c r="M101" s="428">
        <f t="shared" si="207"/>
        <v>0</v>
      </c>
      <c r="N101" s="733"/>
      <c r="O101" s="401"/>
      <c r="P101" s="915">
        <f t="shared" si="197"/>
        <v>0</v>
      </c>
      <c r="Q101" s="915">
        <f t="shared" si="198"/>
        <v>0</v>
      </c>
      <c r="R101" s="915">
        <f t="shared" si="199"/>
        <v>0</v>
      </c>
      <c r="S101" s="923">
        <f t="shared" si="200"/>
        <v>0</v>
      </c>
      <c r="T101" s="917">
        <f t="shared" si="208"/>
        <v>0</v>
      </c>
      <c r="U101" s="919">
        <f t="shared" si="209"/>
        <v>0</v>
      </c>
      <c r="V101" s="923">
        <f t="shared" si="203"/>
        <v>0</v>
      </c>
      <c r="X101" s="404">
        <f t="shared" si="210"/>
        <v>0</v>
      </c>
      <c r="Y101" s="405">
        <f t="shared" si="211"/>
        <v>0</v>
      </c>
      <c r="Z101" s="406">
        <f t="shared" si="211"/>
        <v>0</v>
      </c>
      <c r="AA101" s="404">
        <f t="shared" si="188"/>
        <v>0</v>
      </c>
      <c r="AB101" s="405">
        <f t="shared" si="189"/>
        <v>0</v>
      </c>
      <c r="AC101" s="407">
        <f t="shared" si="190"/>
        <v>0</v>
      </c>
      <c r="AD101" s="408">
        <f t="shared" si="204"/>
        <v>0</v>
      </c>
      <c r="AE101" s="409">
        <f t="shared" si="222"/>
        <v>0</v>
      </c>
      <c r="AF101" s="410">
        <f t="shared" si="184"/>
        <v>0</v>
      </c>
      <c r="AG101" s="411">
        <f t="shared" si="205"/>
        <v>0</v>
      </c>
      <c r="AH101" s="412">
        <f t="shared" si="212"/>
        <v>0</v>
      </c>
      <c r="AJ101" s="765">
        <v>1</v>
      </c>
      <c r="AL101" s="413">
        <f t="shared" si="206"/>
        <v>0</v>
      </c>
      <c r="AM101" s="414">
        <f t="shared" si="191"/>
        <v>0</v>
      </c>
      <c r="AN101" s="414">
        <f t="shared" si="192"/>
        <v>0</v>
      </c>
      <c r="AO101" s="414">
        <f t="shared" si="193"/>
        <v>0</v>
      </c>
      <c r="AP101" s="415">
        <f t="shared" si="213"/>
        <v>0</v>
      </c>
      <c r="AQ101" s="414">
        <f t="shared" si="194"/>
        <v>0</v>
      </c>
      <c r="AR101" s="414">
        <f t="shared" si="195"/>
        <v>0</v>
      </c>
      <c r="AS101" s="414">
        <f t="shared" si="196"/>
        <v>0</v>
      </c>
      <c r="AT101" s="415">
        <f t="shared" si="214"/>
        <v>0</v>
      </c>
      <c r="AU101" s="416">
        <f t="shared" si="215"/>
        <v>0</v>
      </c>
      <c r="AV101" s="417"/>
      <c r="AW101" s="418">
        <f t="shared" si="185"/>
        <v>0</v>
      </c>
      <c r="AX101" s="413">
        <f>IF($D101="",0,VLOOKUP($D101,'Bakkies &amp; Vragmotors'!$A:$AB,COLUMN('Bakkies &amp; Vragmotors'!I$5),FALSE)*AJ101)</f>
        <v>0</v>
      </c>
      <c r="AY101" s="414">
        <f>AX101*IF(H101="Petrol",#REF!,$E$7)/100</f>
        <v>0</v>
      </c>
      <c r="AZ101" s="414">
        <f>IF($D101="",0,VLOOKUP($D101,'Bakkies &amp; Vragmotors'!$A:$AB,COLUMN('Bakkies &amp; Vragmotors'!Q$5),FALSE))</f>
        <v>0</v>
      </c>
      <c r="BA101" s="414">
        <f>IF($D101="",0,VLOOKUP($D101,'Bakkies &amp; Vragmotors'!$A:$AB,COLUMN('Bakkies &amp; Vragmotors'!R$5),FALSE))</f>
        <v>0</v>
      </c>
      <c r="BB101" s="415">
        <f t="shared" si="216"/>
        <v>0</v>
      </c>
      <c r="BC101" s="414">
        <f>IF($D101="",0,VLOOKUP($D101,'Bakkies &amp; Vragmotors'!$A:$AB,COLUMN('Bakkies &amp; Vragmotors'!L$5),FALSE)*$E$9/100)</f>
        <v>0</v>
      </c>
      <c r="BD101" s="414">
        <f>IF($D101="",0,VLOOKUP($D101,'Bakkies &amp; Vragmotors'!$A:$AB,COLUMN('Bakkies &amp; Vragmotors'!M$5),FALSE))</f>
        <v>0</v>
      </c>
      <c r="BE101" s="414">
        <f>IF($D101="",0,VLOOKUP($D101,'Bakkies &amp; Vragmotors'!$A:$AB,COLUMN('Bakkies &amp; Vragmotors'!N$5),FALSE)/$G$8*$E$8)</f>
        <v>0</v>
      </c>
      <c r="BF101" s="415">
        <f t="shared" si="217"/>
        <v>0</v>
      </c>
      <c r="BG101" s="416">
        <f t="shared" si="218"/>
        <v>0</v>
      </c>
      <c r="BH101" s="417"/>
      <c r="BI101" s="418">
        <f t="shared" si="186"/>
        <v>0</v>
      </c>
      <c r="BJ101" s="414">
        <f>IF($I101=0,0,VLOOKUP($I101,'Implemente &amp; Waens'!$A:$Z,COLUMN('Implemente &amp; Waens'!M$5),FALSE))</f>
        <v>0</v>
      </c>
      <c r="BK101" s="414">
        <f>IF($I101=0,0,VLOOKUP($I101,'Implemente &amp; Waens'!$A:$Z,COLUMN('Implemente &amp; Waens'!N$5),FALSE))</f>
        <v>0</v>
      </c>
      <c r="BL101" s="415">
        <f t="shared" si="219"/>
        <v>0</v>
      </c>
      <c r="BM101" s="414">
        <f>IF($I101=0,0,VLOOKUP($I101,'Implemente &amp; Waens'!$A:$Z,COLUMN('Implemente &amp; Waens'!I$5),FALSE)*$E$9/100)</f>
        <v>0</v>
      </c>
      <c r="BN101" s="414">
        <f>IF($I101=0,0,VLOOKUP($I101,'Implemente &amp; Waens'!$A:$Z,COLUMN('Implemente &amp; Waens'!J$5),FALSE))</f>
        <v>0</v>
      </c>
      <c r="BO101" s="414">
        <f>IF($I101=0,0,VLOOKUP($I101,'Implemente &amp; Waens'!$A:$Z,COLUMN('Implemente &amp; Waens'!K$5),FALSE)/$G$8*$E$8)</f>
        <v>0</v>
      </c>
      <c r="BP101" s="415">
        <f t="shared" si="220"/>
        <v>0</v>
      </c>
      <c r="BQ101" s="416">
        <f t="shared" si="221"/>
        <v>0</v>
      </c>
    </row>
    <row r="102" spans="2:69">
      <c r="B102" s="427"/>
      <c r="C102" s="731"/>
      <c r="D102" s="432"/>
      <c r="E102" s="1046">
        <f>IF($D102=0,0,VLOOKUP($D102,'Bakkies &amp; Vragmotors'!$A:$AA,COLUMN('Bakkies &amp; Vragmotors'!D$5),FALSE))</f>
        <v>0</v>
      </c>
      <c r="F102" s="1046"/>
      <c r="G102" s="1046"/>
      <c r="H102" s="433">
        <f>IF($D102=0,0,VLOOKUP($D102,'Bakkies &amp; Vragmotors'!$A:$AA,COLUMN('Bakkies &amp; Vragmotors'!K$5),FALSE))</f>
        <v>0</v>
      </c>
      <c r="I102" s="398"/>
      <c r="J102" s="400">
        <f>IF($I102=0,0,VLOOKUP($I102,'Implemente &amp; Waens'!$A:$Z,COLUMN('Implemente &amp; Waens'!C$5),FALSE))</f>
        <v>0</v>
      </c>
      <c r="K102" s="728"/>
      <c r="L102" s="730"/>
      <c r="M102" s="428">
        <f>IF($L102=0,0,1/K102*100/L102)</f>
        <v>0</v>
      </c>
      <c r="N102" s="733"/>
      <c r="O102" s="401"/>
      <c r="P102" s="915">
        <f t="shared" si="197"/>
        <v>0</v>
      </c>
      <c r="Q102" s="915">
        <f t="shared" si="198"/>
        <v>0</v>
      </c>
      <c r="R102" s="915">
        <f t="shared" si="199"/>
        <v>0</v>
      </c>
      <c r="S102" s="923">
        <f t="shared" si="200"/>
        <v>0</v>
      </c>
      <c r="T102" s="917">
        <f t="shared" si="208"/>
        <v>0</v>
      </c>
      <c r="U102" s="919">
        <f t="shared" si="209"/>
        <v>0</v>
      </c>
      <c r="V102" s="923">
        <f t="shared" si="203"/>
        <v>0</v>
      </c>
      <c r="X102" s="404">
        <f>BB102</f>
        <v>0</v>
      </c>
      <c r="Y102" s="405">
        <f>BF102</f>
        <v>0</v>
      </c>
      <c r="Z102" s="406">
        <f t="shared" si="211"/>
        <v>0</v>
      </c>
      <c r="AA102" s="404">
        <f t="shared" si="188"/>
        <v>0</v>
      </c>
      <c r="AB102" s="405">
        <f t="shared" si="189"/>
        <v>0</v>
      </c>
      <c r="AC102" s="407">
        <f t="shared" si="190"/>
        <v>0</v>
      </c>
      <c r="AD102" s="408">
        <f t="shared" si="204"/>
        <v>0</v>
      </c>
      <c r="AE102" s="409">
        <f t="shared" si="222"/>
        <v>0</v>
      </c>
      <c r="AF102" s="410">
        <f t="shared" si="184"/>
        <v>0</v>
      </c>
      <c r="AG102" s="411">
        <f t="shared" si="205"/>
        <v>0</v>
      </c>
      <c r="AH102" s="412">
        <f t="shared" si="212"/>
        <v>0</v>
      </c>
      <c r="AJ102" s="765">
        <v>1</v>
      </c>
      <c r="AL102" s="413">
        <f t="shared" si="206"/>
        <v>0</v>
      </c>
      <c r="AM102" s="414">
        <f t="shared" si="191"/>
        <v>0</v>
      </c>
      <c r="AN102" s="414">
        <f t="shared" si="192"/>
        <v>0</v>
      </c>
      <c r="AO102" s="414">
        <f t="shared" si="193"/>
        <v>0</v>
      </c>
      <c r="AP102" s="415">
        <f>SUM(AM102:AO102)</f>
        <v>0</v>
      </c>
      <c r="AQ102" s="414">
        <f t="shared" si="194"/>
        <v>0</v>
      </c>
      <c r="AR102" s="414">
        <f t="shared" si="195"/>
        <v>0</v>
      </c>
      <c r="AS102" s="414">
        <f t="shared" si="196"/>
        <v>0</v>
      </c>
      <c r="AT102" s="415">
        <f>SUM(AQ102:AS102)</f>
        <v>0</v>
      </c>
      <c r="AU102" s="416">
        <f>AP102+AT102</f>
        <v>0</v>
      </c>
      <c r="AV102" s="417"/>
      <c r="AW102" s="418">
        <f t="shared" si="185"/>
        <v>0</v>
      </c>
      <c r="AX102" s="413">
        <f>IF($D102="",0,VLOOKUP($D102,'Bakkies &amp; Vragmotors'!$A:$AB,COLUMN('Bakkies &amp; Vragmotors'!I$5),FALSE)*AJ102)</f>
        <v>0</v>
      </c>
      <c r="AY102" s="414">
        <f>AX102*IF(H102="Petrol",#REF!,$E$7)/100</f>
        <v>0</v>
      </c>
      <c r="AZ102" s="414">
        <f>IF($D102="",0,VLOOKUP($D102,'Bakkies &amp; Vragmotors'!$A:$AB,COLUMN('Bakkies &amp; Vragmotors'!Q$5),FALSE))</f>
        <v>0</v>
      </c>
      <c r="BA102" s="414">
        <f>IF($D102="",0,VLOOKUP($D102,'Bakkies &amp; Vragmotors'!$A:$AB,COLUMN('Bakkies &amp; Vragmotors'!R$5),FALSE))</f>
        <v>0</v>
      </c>
      <c r="BB102" s="415">
        <f>SUM(AY102:BA102)</f>
        <v>0</v>
      </c>
      <c r="BC102" s="414">
        <f>IF($D102="",0,VLOOKUP($D102,'Bakkies &amp; Vragmotors'!$A:$AB,COLUMN('Bakkies &amp; Vragmotors'!L$5),FALSE)*$E$9/100)</f>
        <v>0</v>
      </c>
      <c r="BD102" s="414">
        <f>IF($D102="",0,VLOOKUP($D102,'Bakkies &amp; Vragmotors'!$A:$AB,COLUMN('Bakkies &amp; Vragmotors'!M$5),FALSE))</f>
        <v>0</v>
      </c>
      <c r="BE102" s="414">
        <f>IF($D102="",0,VLOOKUP($D102,'Bakkies &amp; Vragmotors'!$A:$AB,COLUMN('Bakkies &amp; Vragmotors'!N$5),FALSE)/$G$8*$E$8)</f>
        <v>0</v>
      </c>
      <c r="BF102" s="415">
        <f>SUM(BC102:BE102)</f>
        <v>0</v>
      </c>
      <c r="BG102" s="416">
        <f>BB102+BF102</f>
        <v>0</v>
      </c>
      <c r="BH102" s="417"/>
      <c r="BI102" s="418">
        <f t="shared" si="186"/>
        <v>0</v>
      </c>
      <c r="BJ102" s="414">
        <f>IF($I102=0,0,VLOOKUP($I102,'Implemente &amp; Waens'!$A:$Z,COLUMN('Implemente &amp; Waens'!M$5),FALSE))</f>
        <v>0</v>
      </c>
      <c r="BK102" s="414">
        <f>IF($I102=0,0,VLOOKUP($I102,'Implemente &amp; Waens'!$A:$Z,COLUMN('Implemente &amp; Waens'!N$5),FALSE))</f>
        <v>0</v>
      </c>
      <c r="BL102" s="415">
        <f>SUM(BJ102:BK102)</f>
        <v>0</v>
      </c>
      <c r="BM102" s="414">
        <f>IF($I102=0,0,VLOOKUP($I102,'Implemente &amp; Waens'!$A:$Z,COLUMN('Implemente &amp; Waens'!I$5),FALSE)*$E$9/100)</f>
        <v>0</v>
      </c>
      <c r="BN102" s="414">
        <f>IF($I102=0,0,VLOOKUP($I102,'Implemente &amp; Waens'!$A:$Z,COLUMN('Implemente &amp; Waens'!J$5),FALSE))</f>
        <v>0</v>
      </c>
      <c r="BO102" s="414">
        <f>IF($I102=0,0,VLOOKUP($I102,'Implemente &amp; Waens'!$A:$Z,COLUMN('Implemente &amp; Waens'!K$5),FALSE)/$G$8*$E$8)</f>
        <v>0</v>
      </c>
      <c r="BP102" s="415">
        <f>SUM(BM102:BO102)</f>
        <v>0</v>
      </c>
      <c r="BQ102" s="416">
        <f>SUM(BL102,BP102)</f>
        <v>0</v>
      </c>
    </row>
    <row r="103" spans="2:69">
      <c r="B103" s="427"/>
      <c r="C103" s="731"/>
      <c r="D103" s="432"/>
      <c r="E103" s="1046">
        <f>IF($D103=0,0,VLOOKUP($D103,'Bakkies &amp; Vragmotors'!$A:$AA,COLUMN('Bakkies &amp; Vragmotors'!D$5),FALSE))</f>
        <v>0</v>
      </c>
      <c r="F103" s="1046"/>
      <c r="G103" s="1046"/>
      <c r="H103" s="433">
        <f>IF($D103=0,0,VLOOKUP($D103,'Bakkies &amp; Vragmotors'!$A:$AA,COLUMN('Bakkies &amp; Vragmotors'!K$5),FALSE))</f>
        <v>0</v>
      </c>
      <c r="I103" s="398"/>
      <c r="J103" s="400">
        <f>IF($I103=0,0,VLOOKUP($I103,'Implemente &amp; Waens'!$A:$Z,COLUMN('Implemente &amp; Waens'!C$5),FALSE))</f>
        <v>0</v>
      </c>
      <c r="K103" s="728"/>
      <c r="L103" s="730"/>
      <c r="M103" s="428">
        <f>IF($L103=0,0,1/K103*100/L103)</f>
        <v>0</v>
      </c>
      <c r="N103" s="733"/>
      <c r="O103" s="401"/>
      <c r="P103" s="915">
        <f t="shared" si="197"/>
        <v>0</v>
      </c>
      <c r="Q103" s="915">
        <f t="shared" si="198"/>
        <v>0</v>
      </c>
      <c r="R103" s="915">
        <f t="shared" si="199"/>
        <v>0</v>
      </c>
      <c r="S103" s="923">
        <f t="shared" si="200"/>
        <v>0</v>
      </c>
      <c r="T103" s="917">
        <f t="shared" si="208"/>
        <v>0</v>
      </c>
      <c r="U103" s="919">
        <f t="shared" si="209"/>
        <v>0</v>
      </c>
      <c r="V103" s="923">
        <f t="shared" si="203"/>
        <v>0</v>
      </c>
      <c r="X103" s="404">
        <f>BB103</f>
        <v>0</v>
      </c>
      <c r="Y103" s="405">
        <f>BF103</f>
        <v>0</v>
      </c>
      <c r="Z103" s="406">
        <f t="shared" si="211"/>
        <v>0</v>
      </c>
      <c r="AA103" s="404">
        <f t="shared" si="188"/>
        <v>0</v>
      </c>
      <c r="AB103" s="405">
        <f t="shared" si="189"/>
        <v>0</v>
      </c>
      <c r="AC103" s="407">
        <f t="shared" si="190"/>
        <v>0</v>
      </c>
      <c r="AD103" s="408">
        <f t="shared" si="204"/>
        <v>0</v>
      </c>
      <c r="AE103" s="409">
        <f t="shared" si="222"/>
        <v>0</v>
      </c>
      <c r="AF103" s="410">
        <f t="shared" si="184"/>
        <v>0</v>
      </c>
      <c r="AG103" s="411">
        <f t="shared" si="205"/>
        <v>0</v>
      </c>
      <c r="AH103" s="412">
        <f t="shared" si="212"/>
        <v>0</v>
      </c>
      <c r="AJ103" s="765">
        <v>1</v>
      </c>
      <c r="AL103" s="413">
        <f t="shared" si="206"/>
        <v>0</v>
      </c>
      <c r="AM103" s="414">
        <f t="shared" si="191"/>
        <v>0</v>
      </c>
      <c r="AN103" s="414">
        <f t="shared" si="192"/>
        <v>0</v>
      </c>
      <c r="AO103" s="414">
        <f t="shared" si="193"/>
        <v>0</v>
      </c>
      <c r="AP103" s="415">
        <f>SUM(AM103:AO103)</f>
        <v>0</v>
      </c>
      <c r="AQ103" s="414">
        <f t="shared" si="194"/>
        <v>0</v>
      </c>
      <c r="AR103" s="414">
        <f t="shared" si="195"/>
        <v>0</v>
      </c>
      <c r="AS103" s="414">
        <f t="shared" si="196"/>
        <v>0</v>
      </c>
      <c r="AT103" s="415">
        <f>SUM(AQ103:AS103)</f>
        <v>0</v>
      </c>
      <c r="AU103" s="416">
        <f>AP103+AT103</f>
        <v>0</v>
      </c>
      <c r="AV103" s="417"/>
      <c r="AW103" s="418">
        <f t="shared" si="185"/>
        <v>0</v>
      </c>
      <c r="AX103" s="413">
        <f>IF($D103="",0,VLOOKUP($D103,'Bakkies &amp; Vragmotors'!$A:$AB,COLUMN('Bakkies &amp; Vragmotors'!I$5),FALSE)*AJ103)</f>
        <v>0</v>
      </c>
      <c r="AY103" s="414">
        <f>AX103*IF(H103="Petrol",#REF!,$E$7)/100</f>
        <v>0</v>
      </c>
      <c r="AZ103" s="414">
        <f>IF($D103="",0,VLOOKUP($D103,'Bakkies &amp; Vragmotors'!$A:$AB,COLUMN('Bakkies &amp; Vragmotors'!Q$5),FALSE))</f>
        <v>0</v>
      </c>
      <c r="BA103" s="414">
        <f>IF($D103="",0,VLOOKUP($D103,'Bakkies &amp; Vragmotors'!$A:$AB,COLUMN('Bakkies &amp; Vragmotors'!R$5),FALSE))</f>
        <v>0</v>
      </c>
      <c r="BB103" s="415">
        <f>SUM(AY103:BA103)</f>
        <v>0</v>
      </c>
      <c r="BC103" s="414">
        <f>IF($D103="",0,VLOOKUP($D103,'Bakkies &amp; Vragmotors'!$A:$AB,COLUMN('Bakkies &amp; Vragmotors'!L$5),FALSE)*$E$9/100)</f>
        <v>0</v>
      </c>
      <c r="BD103" s="414">
        <f>IF($D103="",0,VLOOKUP($D103,'Bakkies &amp; Vragmotors'!$A:$AB,COLUMN('Bakkies &amp; Vragmotors'!M$5),FALSE))</f>
        <v>0</v>
      </c>
      <c r="BE103" s="414">
        <f>IF($D103="",0,VLOOKUP($D103,'Bakkies &amp; Vragmotors'!$A:$AB,COLUMN('Bakkies &amp; Vragmotors'!N$5),FALSE)/$G$8*$E$8)</f>
        <v>0</v>
      </c>
      <c r="BF103" s="415">
        <f>SUM(BC103:BE103)</f>
        <v>0</v>
      </c>
      <c r="BG103" s="416">
        <f>BB103+BF103</f>
        <v>0</v>
      </c>
      <c r="BH103" s="417"/>
      <c r="BI103" s="418">
        <f t="shared" si="186"/>
        <v>0</v>
      </c>
      <c r="BJ103" s="414">
        <f>IF($I103=0,0,VLOOKUP($I103,'Implemente &amp; Waens'!$A:$Z,COLUMN('Implemente &amp; Waens'!M$5),FALSE))</f>
        <v>0</v>
      </c>
      <c r="BK103" s="414">
        <f>IF($I103=0,0,VLOOKUP($I103,'Implemente &amp; Waens'!$A:$Z,COLUMN('Implemente &amp; Waens'!N$5),FALSE))</f>
        <v>0</v>
      </c>
      <c r="BL103" s="415">
        <f>SUM(BJ103:BK103)</f>
        <v>0</v>
      </c>
      <c r="BM103" s="414">
        <f>IF($I103=0,0,VLOOKUP($I103,'Implemente &amp; Waens'!$A:$Z,COLUMN('Implemente &amp; Waens'!I$5),FALSE)*$E$9/100)</f>
        <v>0</v>
      </c>
      <c r="BN103" s="414">
        <f>IF($I103=0,0,VLOOKUP($I103,'Implemente &amp; Waens'!$A:$Z,COLUMN('Implemente &amp; Waens'!J$5),FALSE))</f>
        <v>0</v>
      </c>
      <c r="BO103" s="414">
        <f>IF($I103=0,0,VLOOKUP($I103,'Implemente &amp; Waens'!$A:$Z,COLUMN('Implemente &amp; Waens'!K$5),FALSE)/$G$8*$E$8)</f>
        <v>0</v>
      </c>
      <c r="BP103" s="415">
        <f>SUM(BM103:BO103)</f>
        <v>0</v>
      </c>
      <c r="BQ103" s="416">
        <f>SUM(BL103,BP103)</f>
        <v>0</v>
      </c>
    </row>
    <row r="104" spans="2:69">
      <c r="AL104" s="344" t="s">
        <v>220</v>
      </c>
      <c r="AX104" s="344" t="s">
        <v>220</v>
      </c>
      <c r="BJ104" s="344" t="s">
        <v>193</v>
      </c>
    </row>
    <row r="105" spans="2:69">
      <c r="AG105" s="440"/>
      <c r="AH105" s="440"/>
      <c r="AL105" s="344"/>
      <c r="AX105" s="344"/>
      <c r="BJ105" s="344"/>
    </row>
    <row r="106" spans="2:69" ht="18.75" thickBot="1">
      <c r="B106" s="359" t="s">
        <v>622</v>
      </c>
      <c r="C106" s="360"/>
      <c r="D106" s="360"/>
      <c r="E106" s="360"/>
      <c r="F106" s="360"/>
      <c r="G106" s="360"/>
      <c r="H106" s="360"/>
      <c r="I106" s="360"/>
      <c r="J106" s="360"/>
      <c r="X106" s="358"/>
      <c r="Y106" s="358"/>
      <c r="Z106" s="358"/>
      <c r="AA106" s="358"/>
      <c r="AG106" s="440"/>
      <c r="AH106" s="440"/>
      <c r="AL106" s="363" t="str">
        <f>B106</f>
        <v>TREKKER EN IMPLEMENT : AKSIES PER ITEM</v>
      </c>
      <c r="AW106" s="365" t="s">
        <v>81</v>
      </c>
      <c r="AX106" s="366"/>
      <c r="AY106" s="366"/>
      <c r="BI106" s="365" t="s">
        <v>431</v>
      </c>
      <c r="BJ106" s="366"/>
      <c r="BK106" s="366"/>
    </row>
    <row r="107" spans="2:69" ht="13.5" thickBot="1">
      <c r="B107" s="367"/>
      <c r="C107" s="368"/>
      <c r="D107" s="369"/>
      <c r="E107" s="369"/>
      <c r="F107" s="369"/>
      <c r="G107" s="369"/>
      <c r="H107" s="369"/>
      <c r="I107" s="369"/>
      <c r="J107" s="368"/>
      <c r="K107" s="438"/>
      <c r="L107" s="438"/>
      <c r="M107" s="438"/>
      <c r="N107" s="438"/>
      <c r="O107" s="438"/>
      <c r="P107" s="438"/>
      <c r="Q107" s="438"/>
      <c r="R107" s="438"/>
      <c r="S107" s="924"/>
      <c r="T107" s="438"/>
      <c r="U107" s="438"/>
      <c r="V107" s="924"/>
      <c r="X107" s="369"/>
      <c r="Y107" s="369"/>
      <c r="Z107" s="369"/>
      <c r="AA107" s="369"/>
      <c r="AB107" s="369"/>
      <c r="AC107" s="369"/>
      <c r="AD107" s="369"/>
      <c r="AE107" s="369"/>
      <c r="AF107" s="370"/>
      <c r="AG107" s="369"/>
      <c r="AH107" s="369"/>
      <c r="AL107" s="364" t="s">
        <v>585</v>
      </c>
      <c r="AW107" s="364" t="s">
        <v>943</v>
      </c>
      <c r="BI107" s="364" t="s">
        <v>943</v>
      </c>
    </row>
    <row r="108" spans="2:69" s="374" customFormat="1" ht="12.75" customHeight="1">
      <c r="B108" s="371"/>
      <c r="C108" s="372"/>
      <c r="D108" s="1040" t="s">
        <v>29</v>
      </c>
      <c r="E108" s="1041"/>
      <c r="F108" s="1041"/>
      <c r="G108" s="1041"/>
      <c r="H108" s="1041"/>
      <c r="I108" s="1041" t="s">
        <v>38</v>
      </c>
      <c r="J108" s="1043"/>
      <c r="K108" s="1040" t="s">
        <v>200</v>
      </c>
      <c r="L108" s="1041"/>
      <c r="M108" s="1044"/>
      <c r="N108" s="1040"/>
      <c r="O108" s="1041"/>
      <c r="P108" s="1041"/>
      <c r="Q108" s="1041"/>
      <c r="R108" s="1041"/>
      <c r="S108" s="1041"/>
      <c r="T108" s="1041"/>
      <c r="U108" s="1041"/>
      <c r="V108" s="457"/>
      <c r="W108" s="356"/>
      <c r="X108" s="1040" t="s">
        <v>29</v>
      </c>
      <c r="Y108" s="1041"/>
      <c r="Z108" s="1044"/>
      <c r="AA108" s="1040" t="s">
        <v>38</v>
      </c>
      <c r="AB108" s="1041"/>
      <c r="AC108" s="1044"/>
      <c r="AD108" s="1040" t="str">
        <f>AD$13</f>
        <v>R/UUR</v>
      </c>
      <c r="AE108" s="1041" t="str">
        <f>$AD$13</f>
        <v>R/UUR</v>
      </c>
      <c r="AF108" s="373"/>
      <c r="AG108" s="1040" t="s">
        <v>584</v>
      </c>
      <c r="AH108" s="1043"/>
      <c r="AI108" s="356"/>
      <c r="AJ108" s="356"/>
      <c r="AK108" s="356"/>
      <c r="AL108" s="1042" t="str">
        <f>$AL$13</f>
        <v>VERANDERLIKE KOSTE</v>
      </c>
      <c r="AM108" s="1042"/>
      <c r="AN108" s="1042"/>
      <c r="AO108" s="1042"/>
      <c r="AP108" s="1042"/>
      <c r="AQ108" s="1042" t="str">
        <f>$AQ$13</f>
        <v>VASTE KOSTE</v>
      </c>
      <c r="AR108" s="1042"/>
      <c r="AS108" s="1042"/>
      <c r="AT108" s="1042"/>
      <c r="AU108" s="912" t="str">
        <f>$AU$13</f>
        <v>TOTAAL</v>
      </c>
      <c r="AW108" s="912"/>
      <c r="AX108" s="1042" t="str">
        <f>AX$13</f>
        <v>VERANDERLIKE KOSTE</v>
      </c>
      <c r="AY108" s="1042"/>
      <c r="AZ108" s="1042"/>
      <c r="BA108" s="1042"/>
      <c r="BB108" s="1042"/>
      <c r="BC108" s="1042" t="str">
        <f>BC$13</f>
        <v>VASTE KOSTE</v>
      </c>
      <c r="BD108" s="1042"/>
      <c r="BE108" s="1042"/>
      <c r="BF108" s="1042"/>
      <c r="BG108" s="912" t="str">
        <f>BG$13</f>
        <v>TOTAAL</v>
      </c>
      <c r="BI108" s="912"/>
      <c r="BJ108" s="1042" t="str">
        <f>$BJ$13</f>
        <v>VERANDERLIKE KOSTE</v>
      </c>
      <c r="BK108" s="1042"/>
      <c r="BL108" s="1042"/>
      <c r="BM108" s="1042" t="str">
        <f>$BM$13</f>
        <v>VASTE KOSTE</v>
      </c>
      <c r="BN108" s="1042"/>
      <c r="BO108" s="1042"/>
      <c r="BP108" s="1042"/>
      <c r="BQ108" s="912" t="str">
        <f>$BQ$13</f>
        <v>TOTAAL</v>
      </c>
    </row>
    <row r="109" spans="2:69" s="395" customFormat="1" ht="39" thickBot="1">
      <c r="B109" s="375" t="s">
        <v>83</v>
      </c>
      <c r="C109" s="376" t="s">
        <v>34</v>
      </c>
      <c r="D109" s="424" t="s">
        <v>128</v>
      </c>
      <c r="E109" s="378" t="s">
        <v>180</v>
      </c>
      <c r="F109" s="378" t="s">
        <v>195</v>
      </c>
      <c r="G109" s="379" t="s">
        <v>148</v>
      </c>
      <c r="H109" s="380" t="s">
        <v>129</v>
      </c>
      <c r="I109" s="424" t="s">
        <v>580</v>
      </c>
      <c r="J109" s="381" t="s">
        <v>579</v>
      </c>
      <c r="K109" s="434" t="s">
        <v>582</v>
      </c>
      <c r="L109" s="375" t="s">
        <v>583</v>
      </c>
      <c r="M109" s="380"/>
      <c r="N109" s="426"/>
      <c r="O109" s="382"/>
      <c r="P109" s="913" t="s">
        <v>1286</v>
      </c>
      <c r="Q109" s="914" t="s">
        <v>1283</v>
      </c>
      <c r="R109" s="914" t="s">
        <v>1284</v>
      </c>
      <c r="S109" s="921" t="s">
        <v>1285</v>
      </c>
      <c r="T109" s="916" t="s">
        <v>87</v>
      </c>
      <c r="U109" s="918" t="s">
        <v>181</v>
      </c>
      <c r="V109" s="921" t="s">
        <v>1287</v>
      </c>
      <c r="W109" s="356"/>
      <c r="X109" s="385" t="s">
        <v>530</v>
      </c>
      <c r="Y109" s="386" t="s">
        <v>531</v>
      </c>
      <c r="Z109" s="387" t="s">
        <v>532</v>
      </c>
      <c r="AA109" s="385" t="s">
        <v>530</v>
      </c>
      <c r="AB109" s="386" t="s">
        <v>531</v>
      </c>
      <c r="AC109" s="387" t="s">
        <v>532</v>
      </c>
      <c r="AD109" s="388" t="str">
        <f>AD$14</f>
        <v>Koste (R/Uur) : Droog</v>
      </c>
      <c r="AE109" s="385" t="str">
        <f>AE$14</f>
        <v>Koste (R/Uur) : Totaal</v>
      </c>
      <c r="AF109" s="389" t="str">
        <f t="shared" ref="AF109:AF125" si="223">L109</f>
        <v>Tempo (Hoeveel /Uur)</v>
      </c>
      <c r="AG109" s="390" t="s">
        <v>587</v>
      </c>
      <c r="AH109" s="391" t="s">
        <v>588</v>
      </c>
      <c r="AI109" s="356"/>
      <c r="AJ109" s="375" t="s">
        <v>1104</v>
      </c>
      <c r="AK109" s="356"/>
      <c r="AL109" s="383" t="s">
        <v>589</v>
      </c>
      <c r="AM109" s="383" t="s">
        <v>590</v>
      </c>
      <c r="AN109" s="383" t="s">
        <v>591</v>
      </c>
      <c r="AO109" s="383" t="s">
        <v>592</v>
      </c>
      <c r="AP109" s="383" t="s">
        <v>593</v>
      </c>
      <c r="AQ109" s="383" t="s">
        <v>594</v>
      </c>
      <c r="AR109" s="383" t="s">
        <v>595</v>
      </c>
      <c r="AS109" s="383" t="s">
        <v>596</v>
      </c>
      <c r="AT109" s="383" t="s">
        <v>597</v>
      </c>
      <c r="AU109" s="383" t="s">
        <v>598</v>
      </c>
      <c r="AW109" s="396" t="str">
        <f t="shared" ref="AW109:AW125" si="224">D109</f>
        <v>Trekker kode</v>
      </c>
      <c r="AX109" s="383" t="str">
        <f t="shared" ref="AX109:BG109" si="225">AX$14</f>
        <v>Brandstof gebruik (Lt/Uur)</v>
      </c>
      <c r="AY109" s="375" t="str">
        <f t="shared" si="225"/>
        <v>Brandstof koste (R/Uur)</v>
      </c>
      <c r="AZ109" s="375" t="str">
        <f t="shared" si="225"/>
        <v>Herstel &amp; Ondrh. (R/Uur)</v>
      </c>
      <c r="BA109" s="375" t="str">
        <f t="shared" si="225"/>
        <v>Alle ander (R/Uur)</v>
      </c>
      <c r="BB109" s="392" t="str">
        <f t="shared" si="225"/>
        <v>Totaal Verandrlik (R/Uur)</v>
      </c>
      <c r="BC109" s="393" t="str">
        <f t="shared" si="225"/>
        <v>Waarde- vermindr (R/Uur)</v>
      </c>
      <c r="BD109" s="375" t="str">
        <f t="shared" si="225"/>
        <v>Verseker &amp; lisensie (R/Uur)</v>
      </c>
      <c r="BE109" s="375" t="str">
        <f t="shared" si="225"/>
        <v>Rente 
(R/Uur)</v>
      </c>
      <c r="BF109" s="392" t="str">
        <f t="shared" si="225"/>
        <v>Totaal Vaste (R/Uur)</v>
      </c>
      <c r="BG109" s="394" t="str">
        <f t="shared" si="225"/>
        <v>Totale Koste (R/Uur)</v>
      </c>
      <c r="BI109" s="396" t="str">
        <f t="shared" ref="BI109:BI125" si="226">I109</f>
        <v>Implement kode</v>
      </c>
      <c r="BJ109" s="375" t="str">
        <f t="shared" ref="BJ109:BQ109" si="227">BJ$14</f>
        <v>Herstel &amp; Ondrh. (R/Uur)</v>
      </c>
      <c r="BK109" s="375" t="str">
        <f t="shared" si="227"/>
        <v>Alle ander (R/Uur)</v>
      </c>
      <c r="BL109" s="392" t="str">
        <f t="shared" si="227"/>
        <v>Totaal Verandrlik (R/Uur)</v>
      </c>
      <c r="BM109" s="375" t="str">
        <f t="shared" si="227"/>
        <v>Waarde- vermindr (R/Uur)</v>
      </c>
      <c r="BN109" s="393" t="str">
        <f t="shared" si="227"/>
        <v>Verseker &amp; lisensie (R/Uur)</v>
      </c>
      <c r="BO109" s="375" t="str">
        <f t="shared" si="227"/>
        <v>Rente 
(R/Uur)</v>
      </c>
      <c r="BP109" s="392" t="str">
        <f t="shared" si="227"/>
        <v>Totaal Vaste (R/Uur)</v>
      </c>
      <c r="BQ109" s="394" t="str">
        <f t="shared" si="227"/>
        <v>Totale Koste (R/Uur)</v>
      </c>
    </row>
    <row r="110" spans="2:69">
      <c r="B110" s="427"/>
      <c r="C110" s="731" t="s">
        <v>1216</v>
      </c>
      <c r="D110" s="398">
        <f>Trekkers!$A$25</f>
        <v>25</v>
      </c>
      <c r="E110" s="399">
        <f>IF($D110="",0,VLOOKUP($D110,Trekkers!$A:$U,COLUMN(Trekkers!C$5),FALSE))</f>
        <v>80</v>
      </c>
      <c r="F110" s="399">
        <f>IF($D110="",0,VLOOKUP($D110,Trekkers!$A:$U,COLUMN(Trekkers!D$5),FALSE))</f>
        <v>107.28176716760225</v>
      </c>
      <c r="G110" s="399" t="str">
        <f>IF($D110="",0,VLOOKUP($D110,Trekkers!$A:$U,COLUMN(Trekkers!E$5),FALSE))</f>
        <v>2W</v>
      </c>
      <c r="H110" s="815" t="s">
        <v>133</v>
      </c>
      <c r="I110" s="398">
        <f>'Implemente &amp; Waens'!$A$546</f>
        <v>546</v>
      </c>
      <c r="J110" s="400" t="str">
        <f>IF($I110=0,0,VLOOKUP($I110,'Implemente &amp; Waens'!$A:$Z,COLUMN('Implemente &amp; Waens'!C$5),FALSE))</f>
        <v>Horisontale Voermenger : 7m³ (2.45t) (met skaal)</v>
      </c>
      <c r="K110" s="728" t="s">
        <v>1225</v>
      </c>
      <c r="L110" s="729">
        <v>1.25</v>
      </c>
      <c r="M110" s="439"/>
      <c r="N110" s="429"/>
      <c r="O110" s="401"/>
      <c r="P110" s="915">
        <f>$AU110-$AM110-$AS110*100%-$AQ110*50%</f>
        <v>220.71999999999991</v>
      </c>
      <c r="Q110" s="915">
        <f>$AU110-$AM110-$AS110*100%-$AQ110*0%</f>
        <v>299.07999999999993</v>
      </c>
      <c r="R110" s="915">
        <f>$AU110-$AM110-$AS110*50%-$AQ110*0%</f>
        <v>354.43999999999994</v>
      </c>
      <c r="S110" s="923">
        <f>$AU110-$AM110-$AS110*0%-$AQ110*0%</f>
        <v>409.79999999999995</v>
      </c>
      <c r="T110" s="917">
        <f>AL110</f>
        <v>10.08</v>
      </c>
      <c r="U110" s="919">
        <f>AM110</f>
        <v>123.98400000000001</v>
      </c>
      <c r="V110" s="923">
        <f>S110+U110</f>
        <v>533.78399999999999</v>
      </c>
      <c r="X110" s="404">
        <f>BB110</f>
        <v>220.98000000000002</v>
      </c>
      <c r="Y110" s="405">
        <f>BF110</f>
        <v>118.65</v>
      </c>
      <c r="Z110" s="407">
        <f>BG110</f>
        <v>339.63</v>
      </c>
      <c r="AA110" s="404">
        <f>BL110</f>
        <v>91</v>
      </c>
      <c r="AB110" s="405">
        <f>BP110</f>
        <v>236.60000000000002</v>
      </c>
      <c r="AC110" s="407">
        <f>BQ110</f>
        <v>327.60000000000002</v>
      </c>
      <c r="AD110" s="408">
        <f t="shared" ref="AD110:AD125" si="228">AE110-AY110</f>
        <v>512.25</v>
      </c>
      <c r="AE110" s="409">
        <f>SUM(Z110,AC110)</f>
        <v>667.23</v>
      </c>
      <c r="AF110" s="410">
        <f t="shared" si="223"/>
        <v>1.25</v>
      </c>
      <c r="AG110" s="411">
        <f t="shared" ref="AG110:AG125" si="229">AH110-AM110</f>
        <v>409.79999999999995</v>
      </c>
      <c r="AH110" s="412">
        <f>AU110</f>
        <v>533.78399999999999</v>
      </c>
      <c r="AJ110" s="765">
        <v>1</v>
      </c>
      <c r="AL110" s="413">
        <f t="shared" ref="AL110:AL125" si="230">IF($AF110=0,0,AX110/$AF110)</f>
        <v>10.08</v>
      </c>
      <c r="AM110" s="414">
        <f t="shared" ref="AM110:AM125" si="231">AL110*$E$7</f>
        <v>123.98400000000001</v>
      </c>
      <c r="AN110" s="414">
        <f t="shared" ref="AN110:AN125" si="232">IF($AF110=0,0,SUM(AZ110,BJ110)/$AF110)</f>
        <v>125.6</v>
      </c>
      <c r="AO110" s="414">
        <f t="shared" ref="AO110:AO125" si="233">IF($AF110=0,0,SUM(BA110,BK110)/$AF110)</f>
        <v>0</v>
      </c>
      <c r="AP110" s="415">
        <f>SUM(AM110:AO110)</f>
        <v>249.584</v>
      </c>
      <c r="AQ110" s="414">
        <f t="shared" ref="AQ110:AQ125" si="234">IF($AF110=0,0,SUM(BC110,BM110)/$AF110)</f>
        <v>156.72</v>
      </c>
      <c r="AR110" s="414">
        <f t="shared" ref="AR110:AR125" si="235">IF($AF110=0,0,SUM(BD110,BN110)/$AF110)</f>
        <v>16.760000000000002</v>
      </c>
      <c r="AS110" s="414">
        <f t="shared" ref="AS110:AS125" si="236">IF($AF110=0,0,SUM(BE110,BO110)/$AF110)</f>
        <v>110.72</v>
      </c>
      <c r="AT110" s="415">
        <f>SUM(AQ110:AS110)</f>
        <v>284.2</v>
      </c>
      <c r="AU110" s="416">
        <f>AP110+AT110</f>
        <v>533.78399999999999</v>
      </c>
      <c r="AV110" s="417"/>
      <c r="AW110" s="418">
        <f t="shared" si="224"/>
        <v>25</v>
      </c>
      <c r="AX110" s="413">
        <f>IF(D110="",0,E110*VLOOKUP(H110,Trekkers!$E$141:$L$143,COLUMNS(Trekkers!$E$141:$L$141),FALSE)*AJ110)</f>
        <v>12.6</v>
      </c>
      <c r="AY110" s="414">
        <f>AX110*$E$7</f>
        <v>154.98000000000002</v>
      </c>
      <c r="AZ110" s="414">
        <f>IF(D110="",0,VLOOKUP($D110,Trekkers!$A:$V,COLUMN(Trekkers!$K$5),FALSE))</f>
        <v>66</v>
      </c>
      <c r="BA110" s="414">
        <f>0</f>
        <v>0</v>
      </c>
      <c r="BB110" s="415">
        <f>SUM(AY110:BA110)</f>
        <v>220.98000000000002</v>
      </c>
      <c r="BC110" s="414">
        <f>IF($D110="",0,VLOOKUP($D110,Trekkers!$A:$V,COLUMN(Trekkers!$G$5),FALSE)*$E$9/100)</f>
        <v>59.400000000000006</v>
      </c>
      <c r="BD110" s="414">
        <f>IF($D110="",0,VLOOKUP($D110,Trekkers!$A:$V,COLUMN(Trekkers!$H$5),FALSE))</f>
        <v>8.4500000000000011</v>
      </c>
      <c r="BE110" s="414">
        <f>IF($D110="",0,VLOOKUP($D110,Trekkers!$A:$V,COLUMN(Trekkers!$I$5),FALSE)/$G$8*$E$8)</f>
        <v>50.800000000000004</v>
      </c>
      <c r="BF110" s="415">
        <f>SUM(BC110:BE110)</f>
        <v>118.65</v>
      </c>
      <c r="BG110" s="416">
        <f>BB110+BF110</f>
        <v>339.63</v>
      </c>
      <c r="BH110" s="417"/>
      <c r="BI110" s="418">
        <f t="shared" si="226"/>
        <v>546</v>
      </c>
      <c r="BJ110" s="414">
        <f>IF($I110=0,0,VLOOKUP($I110,'Implemente &amp; Waens'!$A:$Z,COLUMN('Implemente &amp; Waens'!M$5),FALSE))</f>
        <v>91</v>
      </c>
      <c r="BK110" s="414">
        <f>IF($I110=0,0,VLOOKUP($I110,'Implemente &amp; Waens'!$A:$Z,COLUMN('Implemente &amp; Waens'!N$5),FALSE))</f>
        <v>0</v>
      </c>
      <c r="BL110" s="415">
        <f>SUM(BJ110:BK110)</f>
        <v>91</v>
      </c>
      <c r="BM110" s="414">
        <f>IF($I110=0,0,VLOOKUP($I110,'Implemente &amp; Waens'!$A:$Z,COLUMN('Implemente &amp; Waens'!I$5),FALSE)*$E$9/100)</f>
        <v>136.5</v>
      </c>
      <c r="BN110" s="414">
        <f>IF($I110=0,0,VLOOKUP($I110,'Implemente &amp; Waens'!$A:$Z,COLUMN('Implemente &amp; Waens'!J$5),FALSE))</f>
        <v>12.5</v>
      </c>
      <c r="BO110" s="414">
        <f>IF($I110=0,0,VLOOKUP($I110,'Implemente &amp; Waens'!$A:$Z,COLUMN('Implemente &amp; Waens'!K$5),FALSE)/$G$8*$E$8)</f>
        <v>87.600000000000009</v>
      </c>
      <c r="BP110" s="415">
        <f>SUM(BM110:BO110)</f>
        <v>236.60000000000002</v>
      </c>
      <c r="BQ110" s="416">
        <f>SUM(BL110,BP110)</f>
        <v>327.60000000000002</v>
      </c>
    </row>
    <row r="111" spans="2:69">
      <c r="B111" s="427"/>
      <c r="C111" s="731" t="s">
        <v>1216</v>
      </c>
      <c r="D111" s="398">
        <f>Trekkers!$A$25</f>
        <v>25</v>
      </c>
      <c r="E111" s="399">
        <f>IF($D111="",0,VLOOKUP($D111,Trekkers!$A:$U,COLUMN(Trekkers!C$5),FALSE))</f>
        <v>80</v>
      </c>
      <c r="F111" s="399">
        <f>IF($D111="",0,VLOOKUP($D111,Trekkers!$A:$U,COLUMN(Trekkers!D$5),FALSE))</f>
        <v>107.28176716760225</v>
      </c>
      <c r="G111" s="399" t="str">
        <f>IF($D111="",0,VLOOKUP($D111,Trekkers!$A:$U,COLUMN(Trekkers!E$5),FALSE))</f>
        <v>2W</v>
      </c>
      <c r="H111" s="815" t="s">
        <v>133</v>
      </c>
      <c r="I111" s="398">
        <f>'Implemente &amp; Waens'!$A$552</f>
        <v>552</v>
      </c>
      <c r="J111" s="400" t="str">
        <f>IF($I111=0,0,VLOOKUP($I111,'Implemente &amp; Waens'!$A:$Z,COLUMN('Implemente &amp; Waens'!C$5),FALSE))</f>
        <v>Vertikale Voermenger : 12m³, Enkel uitlaai</v>
      </c>
      <c r="K111" s="728" t="s">
        <v>1225</v>
      </c>
      <c r="L111" s="729">
        <v>1.25</v>
      </c>
      <c r="M111" s="439"/>
      <c r="N111" s="429"/>
      <c r="O111" s="401"/>
      <c r="P111" s="915">
        <f t="shared" ref="P111:P125" si="237">$AU111-$AM111-$AS111*100%-$AQ111*50%</f>
        <v>271.89999999999998</v>
      </c>
      <c r="Q111" s="915">
        <f t="shared" ref="Q111:Q125" si="238">$AU111-$AM111-$AS111*100%-$AQ111*0%</f>
        <v>370.59999999999997</v>
      </c>
      <c r="R111" s="915">
        <f t="shared" ref="R111:R125" si="239">$AU111-$AM111-$AS111*50%-$AQ111*0%</f>
        <v>439</v>
      </c>
      <c r="S111" s="923">
        <f t="shared" ref="S111:S125" si="240">$AU111-$AM111-$AS111*0%-$AQ111*0%</f>
        <v>507.4</v>
      </c>
      <c r="T111" s="917">
        <f t="shared" ref="T111:T115" si="241">AL111</f>
        <v>10.08</v>
      </c>
      <c r="U111" s="919">
        <f t="shared" ref="U111:U115" si="242">AM111</f>
        <v>123.98400000000001</v>
      </c>
      <c r="V111" s="923">
        <f t="shared" ref="V111:V125" si="243">S111+U111</f>
        <v>631.38400000000001</v>
      </c>
      <c r="X111" s="404">
        <f>BB111</f>
        <v>220.98000000000002</v>
      </c>
      <c r="Y111" s="405">
        <f>BF111</f>
        <v>118.65</v>
      </c>
      <c r="Z111" s="435">
        <f>BG111</f>
        <v>339.63</v>
      </c>
      <c r="AA111" s="404">
        <f>BL111</f>
        <v>124.9</v>
      </c>
      <c r="AB111" s="405">
        <f>BP111</f>
        <v>324.70000000000005</v>
      </c>
      <c r="AC111" s="407">
        <f>BQ111</f>
        <v>449.6</v>
      </c>
      <c r="AD111" s="408">
        <f t="shared" si="228"/>
        <v>634.25</v>
      </c>
      <c r="AE111" s="409">
        <f>SUM(Z111,AC111)</f>
        <v>789.23</v>
      </c>
      <c r="AF111" s="410">
        <f t="shared" si="223"/>
        <v>1.25</v>
      </c>
      <c r="AG111" s="411">
        <f t="shared" si="229"/>
        <v>507.4</v>
      </c>
      <c r="AH111" s="412">
        <f>AU111</f>
        <v>631.38400000000001</v>
      </c>
      <c r="AJ111" s="765">
        <v>1</v>
      </c>
      <c r="AL111" s="413">
        <f t="shared" si="230"/>
        <v>10.08</v>
      </c>
      <c r="AM111" s="414">
        <f t="shared" si="231"/>
        <v>123.98400000000001</v>
      </c>
      <c r="AN111" s="414">
        <f t="shared" si="232"/>
        <v>152.72</v>
      </c>
      <c r="AO111" s="414">
        <f t="shared" si="233"/>
        <v>0</v>
      </c>
      <c r="AP111" s="415">
        <f t="shared" ref="AP111:AP125" si="244">SUM(AM111:AO111)</f>
        <v>276.70400000000001</v>
      </c>
      <c r="AQ111" s="414">
        <f t="shared" si="234"/>
        <v>197.40000000000003</v>
      </c>
      <c r="AR111" s="414">
        <f t="shared" si="235"/>
        <v>20.48</v>
      </c>
      <c r="AS111" s="414">
        <f t="shared" si="236"/>
        <v>136.80000000000001</v>
      </c>
      <c r="AT111" s="415">
        <f t="shared" ref="AT111:AT125" si="245">SUM(AQ111:AS111)</f>
        <v>354.68000000000006</v>
      </c>
      <c r="AU111" s="416">
        <f t="shared" ref="AU111:AU125" si="246">AP111+AT111</f>
        <v>631.38400000000001</v>
      </c>
      <c r="AV111" s="417"/>
      <c r="AW111" s="418">
        <f t="shared" si="224"/>
        <v>25</v>
      </c>
      <c r="AX111" s="413">
        <f>IF(D111="",0,E111*VLOOKUP(H111,Trekkers!$E$141:$L$143,COLUMNS(Trekkers!$E$141:$L$141),FALSE)*AJ111)</f>
        <v>12.6</v>
      </c>
      <c r="AY111" s="414">
        <f>AX111*$E$7</f>
        <v>154.98000000000002</v>
      </c>
      <c r="AZ111" s="414">
        <f>IF(D111="",0,VLOOKUP($D111,Trekkers!$A:$V,COLUMN(Trekkers!$K$5),FALSE))</f>
        <v>66</v>
      </c>
      <c r="BA111" s="414">
        <f>0</f>
        <v>0</v>
      </c>
      <c r="BB111" s="415">
        <f>SUM(AY111:BA111)</f>
        <v>220.98000000000002</v>
      </c>
      <c r="BC111" s="414">
        <f>IF($D111="",0,VLOOKUP($D111,Trekkers!$A:$V,COLUMN(Trekkers!$G$5),FALSE)*$E$9/100)</f>
        <v>59.400000000000006</v>
      </c>
      <c r="BD111" s="414">
        <f>IF($D111="",0,VLOOKUP($D111,Trekkers!$A:$V,COLUMN(Trekkers!$H$5),FALSE))</f>
        <v>8.4500000000000011</v>
      </c>
      <c r="BE111" s="414">
        <f>IF($D111="",0,VLOOKUP($D111,Trekkers!$A:$V,COLUMN(Trekkers!$I$5),FALSE)/$G$8*$E$8)</f>
        <v>50.800000000000004</v>
      </c>
      <c r="BF111" s="415">
        <f>SUM(BC111:BE111)</f>
        <v>118.65</v>
      </c>
      <c r="BG111" s="416">
        <f>BB111+BF111</f>
        <v>339.63</v>
      </c>
      <c r="BH111" s="417"/>
      <c r="BI111" s="418">
        <f t="shared" si="226"/>
        <v>552</v>
      </c>
      <c r="BJ111" s="414">
        <f>IF($I111=0,0,VLOOKUP($I111,'Implemente &amp; Waens'!$A:$Z,COLUMN('Implemente &amp; Waens'!M$5),FALSE))</f>
        <v>124.9</v>
      </c>
      <c r="BK111" s="414">
        <f>IF($I111=0,0,VLOOKUP($I111,'Implemente &amp; Waens'!$A:$Z,COLUMN('Implemente &amp; Waens'!N$5),FALSE))</f>
        <v>0</v>
      </c>
      <c r="BL111" s="415">
        <f>SUM(BJ111:BK111)</f>
        <v>124.9</v>
      </c>
      <c r="BM111" s="414">
        <f>IF($I111=0,0,VLOOKUP($I111,'Implemente &amp; Waens'!$A:$Z,COLUMN('Implemente &amp; Waens'!I$5),FALSE)*$E$9/100)</f>
        <v>187.35000000000002</v>
      </c>
      <c r="BN111" s="414">
        <f>IF($I111=0,0,VLOOKUP($I111,'Implemente &amp; Waens'!$A:$Z,COLUMN('Implemente &amp; Waens'!J$5),FALSE))</f>
        <v>17.150000000000002</v>
      </c>
      <c r="BO111" s="414">
        <f>IF($I111=0,0,VLOOKUP($I111,'Implemente &amp; Waens'!$A:$Z,COLUMN('Implemente &amp; Waens'!K$5),FALSE)/$G$8*$E$8)</f>
        <v>120.2</v>
      </c>
      <c r="BP111" s="415">
        <f>SUM(BM111:BO111)</f>
        <v>324.70000000000005</v>
      </c>
      <c r="BQ111" s="416">
        <f>SUM(BL111,BP111)</f>
        <v>449.6</v>
      </c>
    </row>
    <row r="112" spans="2:69">
      <c r="B112" s="427"/>
      <c r="C112" s="731" t="s">
        <v>1217</v>
      </c>
      <c r="D112" s="398">
        <f>Trekkers!$A$25</f>
        <v>25</v>
      </c>
      <c r="E112" s="399">
        <f>IF($D112="",0,VLOOKUP($D112,Trekkers!$A:$U,COLUMN(Trekkers!C$5),FALSE))</f>
        <v>80</v>
      </c>
      <c r="F112" s="399">
        <f>IF($D112="",0,VLOOKUP($D112,Trekkers!$A:$U,COLUMN(Trekkers!D$5),FALSE))</f>
        <v>107.28176716760225</v>
      </c>
      <c r="G112" s="399" t="str">
        <f>IF($D112="",0,VLOOKUP($D112,Trekkers!$A:$U,COLUMN(Trekkers!E$5),FALSE))</f>
        <v>2W</v>
      </c>
      <c r="H112" s="815" t="s">
        <v>133</v>
      </c>
      <c r="I112" s="398">
        <f>'Implemente &amp; Waens'!$A$505</f>
        <v>505</v>
      </c>
      <c r="J112" s="400" t="str">
        <f>IF($I112=0,0,VLOOKUP($I112,'Implemente &amp; Waens'!$A:$Z,COLUMN('Implemente &amp; Waens'!C$5),FALSE))</f>
        <v>Klein vierkant baler 5060</v>
      </c>
      <c r="K112" s="728" t="s">
        <v>1212</v>
      </c>
      <c r="L112" s="729">
        <v>200</v>
      </c>
      <c r="M112" s="439"/>
      <c r="N112" s="429"/>
      <c r="O112" s="401"/>
      <c r="P112" s="915">
        <f t="shared" si="237"/>
        <v>1.6921249999999999</v>
      </c>
      <c r="Q112" s="915">
        <f t="shared" si="238"/>
        <v>2.2282500000000001</v>
      </c>
      <c r="R112" s="915">
        <f t="shared" si="239"/>
        <v>2.6868750000000001</v>
      </c>
      <c r="S112" s="923">
        <f t="shared" si="240"/>
        <v>3.1455000000000002</v>
      </c>
      <c r="T112" s="917">
        <f t="shared" si="241"/>
        <v>6.3E-2</v>
      </c>
      <c r="U112" s="919">
        <f t="shared" si="242"/>
        <v>0.77490000000000003</v>
      </c>
      <c r="V112" s="923">
        <f t="shared" si="243"/>
        <v>3.9204000000000003</v>
      </c>
      <c r="X112" s="404">
        <f t="shared" ref="X112:X125" si="247">BB112</f>
        <v>220.98000000000002</v>
      </c>
      <c r="Y112" s="405">
        <f t="shared" ref="Y112:Z125" si="248">BF112</f>
        <v>118.65</v>
      </c>
      <c r="Z112" s="407">
        <f t="shared" si="248"/>
        <v>339.63</v>
      </c>
      <c r="AA112" s="404">
        <f t="shared" ref="AA112:AA125" si="249">BL112</f>
        <v>137.80000000000001</v>
      </c>
      <c r="AB112" s="405">
        <f t="shared" ref="AB112:AC125" si="250">BP112</f>
        <v>306.64999999999998</v>
      </c>
      <c r="AC112" s="407">
        <f t="shared" si="250"/>
        <v>444.45</v>
      </c>
      <c r="AD112" s="408">
        <f t="shared" si="228"/>
        <v>629.09999999999991</v>
      </c>
      <c r="AE112" s="409">
        <f t="shared" ref="AE112:AE125" si="251">SUM(Z112,AC112)</f>
        <v>784.07999999999993</v>
      </c>
      <c r="AF112" s="410">
        <f t="shared" si="223"/>
        <v>200</v>
      </c>
      <c r="AG112" s="411">
        <f t="shared" si="229"/>
        <v>3.1455000000000002</v>
      </c>
      <c r="AH112" s="412">
        <f t="shared" ref="AH112:AH125" si="252">AU112</f>
        <v>3.9204000000000003</v>
      </c>
      <c r="AJ112" s="765">
        <v>1</v>
      </c>
      <c r="AL112" s="413">
        <f t="shared" si="230"/>
        <v>6.3E-2</v>
      </c>
      <c r="AM112" s="414">
        <f t="shared" si="231"/>
        <v>0.77490000000000003</v>
      </c>
      <c r="AN112" s="414">
        <f t="shared" si="232"/>
        <v>1.0190000000000001</v>
      </c>
      <c r="AO112" s="414">
        <f t="shared" si="233"/>
        <v>0</v>
      </c>
      <c r="AP112" s="415">
        <f t="shared" si="244"/>
        <v>1.7939000000000003</v>
      </c>
      <c r="AQ112" s="414">
        <f t="shared" si="234"/>
        <v>1.0722500000000001</v>
      </c>
      <c r="AR112" s="414">
        <f t="shared" si="235"/>
        <v>0.13699999999999998</v>
      </c>
      <c r="AS112" s="414">
        <f t="shared" si="236"/>
        <v>0.91725000000000012</v>
      </c>
      <c r="AT112" s="415">
        <f t="shared" si="245"/>
        <v>2.1265000000000001</v>
      </c>
      <c r="AU112" s="416">
        <f t="shared" si="246"/>
        <v>3.9204000000000003</v>
      </c>
      <c r="AV112" s="417"/>
      <c r="AW112" s="418">
        <f t="shared" si="224"/>
        <v>25</v>
      </c>
      <c r="AX112" s="413">
        <f>IF(D112="",0,E112*VLOOKUP(H112,Trekkers!$E$141:$L$143,COLUMNS(Trekkers!$E$141:$L$141),FALSE)*AJ112)</f>
        <v>12.6</v>
      </c>
      <c r="AY112" s="414">
        <f t="shared" ref="AY112:AY125" si="253">AX112*$E$7</f>
        <v>154.98000000000002</v>
      </c>
      <c r="AZ112" s="414">
        <f>IF(D112="",0,VLOOKUP($D112,Trekkers!$A:$V,COLUMN(Trekkers!$K$5),FALSE))</f>
        <v>66</v>
      </c>
      <c r="BA112" s="414">
        <f>0</f>
        <v>0</v>
      </c>
      <c r="BB112" s="415">
        <f t="shared" ref="BB112:BB125" si="254">SUM(AY112:BA112)</f>
        <v>220.98000000000002</v>
      </c>
      <c r="BC112" s="414">
        <f>IF($D112="",0,VLOOKUP($D112,Trekkers!$A:$V,COLUMN(Trekkers!$G$5),FALSE)*$E$9/100)</f>
        <v>59.400000000000006</v>
      </c>
      <c r="BD112" s="414">
        <f>IF($D112="",0,VLOOKUP($D112,Trekkers!$A:$V,COLUMN(Trekkers!$H$5),FALSE))</f>
        <v>8.4500000000000011</v>
      </c>
      <c r="BE112" s="414">
        <f>IF($D112="",0,VLOOKUP($D112,Trekkers!$A:$V,COLUMN(Trekkers!$I$5),FALSE)/$G$8*$E$8)</f>
        <v>50.800000000000004</v>
      </c>
      <c r="BF112" s="415">
        <f t="shared" ref="BF112:BF125" si="255">SUM(BC112:BE112)</f>
        <v>118.65</v>
      </c>
      <c r="BG112" s="416">
        <f t="shared" ref="BG112:BG125" si="256">BB112+BF112</f>
        <v>339.63</v>
      </c>
      <c r="BH112" s="417"/>
      <c r="BI112" s="418">
        <f t="shared" si="226"/>
        <v>505</v>
      </c>
      <c r="BJ112" s="414">
        <f>IF($I112=0,0,VLOOKUP($I112,'Implemente &amp; Waens'!$A:$Z,COLUMN('Implemente &amp; Waens'!M$5),FALSE))</f>
        <v>137.80000000000001</v>
      </c>
      <c r="BK112" s="414">
        <f>IF($I112=0,0,VLOOKUP($I112,'Implemente &amp; Waens'!$A:$Z,COLUMN('Implemente &amp; Waens'!N$5),FALSE))</f>
        <v>0</v>
      </c>
      <c r="BL112" s="415">
        <f t="shared" ref="BL112:BL125" si="257">SUM(BJ112:BK112)</f>
        <v>137.80000000000001</v>
      </c>
      <c r="BM112" s="414">
        <f>IF($I112=0,0,VLOOKUP($I112,'Implemente &amp; Waens'!$A:$Z,COLUMN('Implemente &amp; Waens'!I$5),FALSE)*$E$9/100)</f>
        <v>155.05000000000001</v>
      </c>
      <c r="BN112" s="414">
        <f>IF($I112=0,0,VLOOKUP($I112,'Implemente &amp; Waens'!$A:$Z,COLUMN('Implemente &amp; Waens'!J$5),FALSE))</f>
        <v>18.95</v>
      </c>
      <c r="BO112" s="414">
        <f>IF($I112=0,0,VLOOKUP($I112,'Implemente &amp; Waens'!$A:$Z,COLUMN('Implemente &amp; Waens'!K$5),FALSE)/$G$8*$E$8)</f>
        <v>132.65</v>
      </c>
      <c r="BP112" s="415">
        <f t="shared" ref="BP112:BP125" si="258">SUM(BM112:BO112)</f>
        <v>306.64999999999998</v>
      </c>
      <c r="BQ112" s="416">
        <f t="shared" ref="BQ112:BQ125" si="259">SUM(BL112,BP112)</f>
        <v>444.45</v>
      </c>
    </row>
    <row r="113" spans="2:69">
      <c r="B113" s="427"/>
      <c r="C113" s="731" t="s">
        <v>1218</v>
      </c>
      <c r="D113" s="398">
        <f>Trekkers!$A$27</f>
        <v>27</v>
      </c>
      <c r="E113" s="399">
        <f>IF($D113="",0,VLOOKUP($D113,Trekkers!$A:$U,COLUMN(Trekkers!C$5),FALSE))</f>
        <v>90</v>
      </c>
      <c r="F113" s="399">
        <f>IF($D113="",0,VLOOKUP($D113,Trekkers!$A:$U,COLUMN(Trekkers!D$5),FALSE))</f>
        <v>120.69198806355254</v>
      </c>
      <c r="G113" s="399" t="str">
        <f>IF($D113="",0,VLOOKUP($D113,Trekkers!$A:$U,COLUMN(Trekkers!E$5),FALSE))</f>
        <v>2W</v>
      </c>
      <c r="H113" s="815" t="s">
        <v>133</v>
      </c>
      <c r="I113" s="398">
        <f>'Implemente &amp; Waens'!$A$520</f>
        <v>520</v>
      </c>
      <c r="J113" s="400" t="str">
        <f>IF($I113=0,0,VLOOKUP($I113,'Implemente &amp; Waens'!$A:$Z,COLUMN('Implemente &amp; Waens'!C$5),FALSE))</f>
        <v>Rondebaler 1.25m Deursnee - 1.95m Optel (Tou of Net)</v>
      </c>
      <c r="K113" s="728" t="s">
        <v>1212</v>
      </c>
      <c r="L113" s="729">
        <v>25</v>
      </c>
      <c r="M113" s="439"/>
      <c r="N113" s="429"/>
      <c r="O113" s="401"/>
      <c r="P113" s="915">
        <f t="shared" si="237"/>
        <v>16.950000000000006</v>
      </c>
      <c r="Q113" s="915">
        <f t="shared" si="238"/>
        <v>22.344000000000008</v>
      </c>
      <c r="R113" s="915">
        <f t="shared" si="239"/>
        <v>26.958000000000009</v>
      </c>
      <c r="S113" s="923">
        <f t="shared" si="240"/>
        <v>31.57200000000001</v>
      </c>
      <c r="T113" s="917">
        <f t="shared" si="241"/>
        <v>0.56700000000000006</v>
      </c>
      <c r="U113" s="919">
        <f t="shared" si="242"/>
        <v>6.9741000000000009</v>
      </c>
      <c r="V113" s="923">
        <f t="shared" si="243"/>
        <v>38.54610000000001</v>
      </c>
      <c r="X113" s="404">
        <f t="shared" si="247"/>
        <v>248.60250000000002</v>
      </c>
      <c r="Y113" s="405">
        <f t="shared" si="248"/>
        <v>133.55000000000001</v>
      </c>
      <c r="Z113" s="407">
        <f t="shared" si="248"/>
        <v>382.15250000000003</v>
      </c>
      <c r="AA113" s="404">
        <f t="shared" si="249"/>
        <v>180.3</v>
      </c>
      <c r="AB113" s="405">
        <f t="shared" si="250"/>
        <v>401.20000000000005</v>
      </c>
      <c r="AC113" s="407">
        <f t="shared" si="250"/>
        <v>581.5</v>
      </c>
      <c r="AD113" s="408">
        <f t="shared" si="228"/>
        <v>789.3</v>
      </c>
      <c r="AE113" s="409">
        <f t="shared" si="251"/>
        <v>963.65250000000003</v>
      </c>
      <c r="AF113" s="410">
        <f t="shared" si="223"/>
        <v>25</v>
      </c>
      <c r="AG113" s="411">
        <f t="shared" si="229"/>
        <v>31.57200000000001</v>
      </c>
      <c r="AH113" s="412">
        <f t="shared" si="252"/>
        <v>38.54610000000001</v>
      </c>
      <c r="AJ113" s="765">
        <v>1</v>
      </c>
      <c r="AL113" s="413">
        <f t="shared" si="230"/>
        <v>0.56700000000000006</v>
      </c>
      <c r="AM113" s="414">
        <f t="shared" si="231"/>
        <v>6.9741000000000009</v>
      </c>
      <c r="AN113" s="414">
        <f t="shared" si="232"/>
        <v>10.182</v>
      </c>
      <c r="AO113" s="414">
        <f t="shared" si="233"/>
        <v>0</v>
      </c>
      <c r="AP113" s="415">
        <f t="shared" si="244"/>
        <v>17.156100000000002</v>
      </c>
      <c r="AQ113" s="414">
        <f t="shared" si="234"/>
        <v>10.788000000000002</v>
      </c>
      <c r="AR113" s="414">
        <f t="shared" si="235"/>
        <v>1.3740000000000001</v>
      </c>
      <c r="AS113" s="414">
        <f t="shared" si="236"/>
        <v>9.2280000000000015</v>
      </c>
      <c r="AT113" s="415">
        <f t="shared" si="245"/>
        <v>21.390000000000004</v>
      </c>
      <c r="AU113" s="416">
        <f t="shared" si="246"/>
        <v>38.54610000000001</v>
      </c>
      <c r="AV113" s="417"/>
      <c r="AW113" s="418">
        <f t="shared" si="224"/>
        <v>27</v>
      </c>
      <c r="AX113" s="413">
        <f>IF(D113="",0,E113*VLOOKUP(H113,Trekkers!$E$141:$L$143,COLUMNS(Trekkers!$E$141:$L$141),FALSE)*AJ113)</f>
        <v>14.175000000000001</v>
      </c>
      <c r="AY113" s="414">
        <f t="shared" si="253"/>
        <v>174.35250000000002</v>
      </c>
      <c r="AZ113" s="414">
        <f>IF(D113="",0,VLOOKUP($D113,Trekkers!$A:$V,COLUMN(Trekkers!$K$5),FALSE))</f>
        <v>74.25</v>
      </c>
      <c r="BA113" s="414">
        <f>0</f>
        <v>0</v>
      </c>
      <c r="BB113" s="415">
        <f t="shared" si="254"/>
        <v>248.60250000000002</v>
      </c>
      <c r="BC113" s="414">
        <f>IF($D113="",0,VLOOKUP($D113,Trekkers!$A:$V,COLUMN(Trekkers!$G$5),FALSE)*$E$9/100)</f>
        <v>66.850000000000009</v>
      </c>
      <c r="BD113" s="414">
        <f>IF($D113="",0,VLOOKUP($D113,Trekkers!$A:$V,COLUMN(Trekkers!$H$5),FALSE))</f>
        <v>9.5500000000000007</v>
      </c>
      <c r="BE113" s="414">
        <f>IF($D113="",0,VLOOKUP($D113,Trekkers!$A:$V,COLUMN(Trekkers!$I$5),FALSE)/$G$8*$E$8)</f>
        <v>57.150000000000006</v>
      </c>
      <c r="BF113" s="415">
        <f t="shared" si="255"/>
        <v>133.55000000000001</v>
      </c>
      <c r="BG113" s="416">
        <f t="shared" si="256"/>
        <v>382.15250000000003</v>
      </c>
      <c r="BH113" s="417"/>
      <c r="BI113" s="418">
        <f t="shared" si="226"/>
        <v>520</v>
      </c>
      <c r="BJ113" s="414">
        <f>IF($I113=0,0,VLOOKUP($I113,'Implemente &amp; Waens'!$A:$Z,COLUMN('Implemente &amp; Waens'!M$5),FALSE))</f>
        <v>180.3</v>
      </c>
      <c r="BK113" s="414">
        <f>IF($I113=0,0,VLOOKUP($I113,'Implemente &amp; Waens'!$A:$Z,COLUMN('Implemente &amp; Waens'!N$5),FALSE))</f>
        <v>0</v>
      </c>
      <c r="BL113" s="415">
        <f t="shared" si="257"/>
        <v>180.3</v>
      </c>
      <c r="BM113" s="414">
        <f>IF($I113=0,0,VLOOKUP($I113,'Implemente &amp; Waens'!$A:$Z,COLUMN('Implemente &amp; Waens'!I$5),FALSE)*$E$9/100)</f>
        <v>202.85000000000002</v>
      </c>
      <c r="BN113" s="414">
        <f>IF($I113=0,0,VLOOKUP($I113,'Implemente &amp; Waens'!$A:$Z,COLUMN('Implemente &amp; Waens'!J$5),FALSE))</f>
        <v>24.8</v>
      </c>
      <c r="BO113" s="414">
        <f>IF($I113=0,0,VLOOKUP($I113,'Implemente &amp; Waens'!$A:$Z,COLUMN('Implemente &amp; Waens'!K$5),FALSE)/$G$8*$E$8)</f>
        <v>173.55</v>
      </c>
      <c r="BP113" s="415">
        <f t="shared" si="258"/>
        <v>401.20000000000005</v>
      </c>
      <c r="BQ113" s="416">
        <f t="shared" si="259"/>
        <v>581.5</v>
      </c>
    </row>
    <row r="114" spans="2:69">
      <c r="B114" s="427"/>
      <c r="C114" s="731" t="s">
        <v>1219</v>
      </c>
      <c r="D114" s="398">
        <f>Trekkers!$A$30</f>
        <v>30</v>
      </c>
      <c r="E114" s="399">
        <f>IF($D114="",0,VLOOKUP($D114,Trekkers!$A:$U,COLUMN(Trekkers!C$5),FALSE))</f>
        <v>105</v>
      </c>
      <c r="F114" s="399">
        <f>IF($D114="",0,VLOOKUP($D114,Trekkers!$A:$U,COLUMN(Trekkers!D$5),FALSE))</f>
        <v>140.80731940747796</v>
      </c>
      <c r="G114" s="399" t="str">
        <f>IF($D114="",0,VLOOKUP($D114,Trekkers!$A:$U,COLUMN(Trekkers!E$5),FALSE))</f>
        <v>2W</v>
      </c>
      <c r="H114" s="815" t="s">
        <v>133</v>
      </c>
      <c r="I114" s="398">
        <f>'Implemente &amp; Waens'!$A$536</f>
        <v>536</v>
      </c>
      <c r="J114" s="400" t="str">
        <f>IF($I114=0,0,VLOOKUP($I114,'Implemente &amp; Waens'!$A:$Z,COLUMN('Implemente &amp; Waens'!C$5),FALSE))</f>
        <v>Ronde Baal Wrapper : Sleepmodel</v>
      </c>
      <c r="K114" s="728" t="s">
        <v>1212</v>
      </c>
      <c r="L114" s="729">
        <v>27.5</v>
      </c>
      <c r="M114" s="439"/>
      <c r="N114" s="429"/>
      <c r="O114" s="401"/>
      <c r="P114" s="915">
        <f t="shared" si="237"/>
        <v>10.913636363636366</v>
      </c>
      <c r="Q114" s="915">
        <f t="shared" si="238"/>
        <v>15.250909090909094</v>
      </c>
      <c r="R114" s="915">
        <f t="shared" si="239"/>
        <v>17.961818181818185</v>
      </c>
      <c r="S114" s="923">
        <f t="shared" si="240"/>
        <v>20.672727272727276</v>
      </c>
      <c r="T114" s="917">
        <f t="shared" si="241"/>
        <v>0.60136363636363643</v>
      </c>
      <c r="U114" s="919">
        <f t="shared" si="242"/>
        <v>7.3967727272727286</v>
      </c>
      <c r="V114" s="923">
        <f t="shared" si="243"/>
        <v>28.069500000000005</v>
      </c>
      <c r="X114" s="404">
        <f t="shared" si="247"/>
        <v>290.06125000000003</v>
      </c>
      <c r="Y114" s="405">
        <f t="shared" si="248"/>
        <v>155.80000000000001</v>
      </c>
      <c r="Z114" s="407">
        <f t="shared" si="248"/>
        <v>445.86125000000004</v>
      </c>
      <c r="AA114" s="404">
        <f t="shared" si="249"/>
        <v>71.350000000000009</v>
      </c>
      <c r="AB114" s="405">
        <f t="shared" si="250"/>
        <v>254.70000000000002</v>
      </c>
      <c r="AC114" s="407">
        <f t="shared" si="250"/>
        <v>326.05</v>
      </c>
      <c r="AD114" s="408">
        <f t="shared" si="228"/>
        <v>568.50000000000011</v>
      </c>
      <c r="AE114" s="409">
        <f t="shared" si="251"/>
        <v>771.91125000000011</v>
      </c>
      <c r="AF114" s="410">
        <f t="shared" si="223"/>
        <v>27.5</v>
      </c>
      <c r="AG114" s="411">
        <f t="shared" si="229"/>
        <v>20.672727272727276</v>
      </c>
      <c r="AH114" s="412">
        <f t="shared" si="252"/>
        <v>28.069500000000005</v>
      </c>
      <c r="AJ114" s="765">
        <v>1</v>
      </c>
      <c r="AL114" s="413">
        <f t="shared" si="230"/>
        <v>0.60136363636363643</v>
      </c>
      <c r="AM114" s="414">
        <f t="shared" si="231"/>
        <v>7.3967727272727286</v>
      </c>
      <c r="AN114" s="414">
        <f t="shared" si="232"/>
        <v>5.7454545454545451</v>
      </c>
      <c r="AO114" s="414">
        <f t="shared" si="233"/>
        <v>0</v>
      </c>
      <c r="AP114" s="415">
        <f t="shared" si="244"/>
        <v>13.142227272727274</v>
      </c>
      <c r="AQ114" s="414">
        <f t="shared" si="234"/>
        <v>8.6745454545454557</v>
      </c>
      <c r="AR114" s="414">
        <f t="shared" si="235"/>
        <v>0.83090909090909093</v>
      </c>
      <c r="AS114" s="414">
        <f t="shared" si="236"/>
        <v>5.4218181818181828</v>
      </c>
      <c r="AT114" s="415">
        <f t="shared" si="245"/>
        <v>14.927272727272729</v>
      </c>
      <c r="AU114" s="416">
        <f t="shared" si="246"/>
        <v>28.069500000000005</v>
      </c>
      <c r="AV114" s="417"/>
      <c r="AW114" s="418">
        <f t="shared" si="224"/>
        <v>30</v>
      </c>
      <c r="AX114" s="413">
        <f>IF(D114="",0,E114*VLOOKUP(H114,Trekkers!$E$141:$L$143,COLUMNS(Trekkers!$E$141:$L$141),FALSE)*AJ114)</f>
        <v>16.537500000000001</v>
      </c>
      <c r="AY114" s="414">
        <f t="shared" si="253"/>
        <v>203.41125000000002</v>
      </c>
      <c r="AZ114" s="414">
        <f>IF(D114="",0,VLOOKUP($D114,Trekkers!$A:$V,COLUMN(Trekkers!$K$5),FALSE))</f>
        <v>86.65</v>
      </c>
      <c r="BA114" s="414">
        <f>0</f>
        <v>0</v>
      </c>
      <c r="BB114" s="415">
        <f t="shared" si="254"/>
        <v>290.06125000000003</v>
      </c>
      <c r="BC114" s="414">
        <f>IF($D114="",0,VLOOKUP($D114,Trekkers!$A:$V,COLUMN(Trekkers!$G$5),FALSE)*$E$9/100)</f>
        <v>78</v>
      </c>
      <c r="BD114" s="414">
        <f>IF($D114="",0,VLOOKUP($D114,Trekkers!$A:$V,COLUMN(Trekkers!$H$5),FALSE))</f>
        <v>11.100000000000001</v>
      </c>
      <c r="BE114" s="414">
        <f>IF($D114="",0,VLOOKUP($D114,Trekkers!$A:$V,COLUMN(Trekkers!$I$5),FALSE)/$G$8*$E$8)</f>
        <v>66.7</v>
      </c>
      <c r="BF114" s="415">
        <f t="shared" si="255"/>
        <v>155.80000000000001</v>
      </c>
      <c r="BG114" s="416">
        <f t="shared" si="256"/>
        <v>445.86125000000004</v>
      </c>
      <c r="BH114" s="417"/>
      <c r="BI114" s="418">
        <f t="shared" si="226"/>
        <v>536</v>
      </c>
      <c r="BJ114" s="414">
        <f>IF($I114=0,0,VLOOKUP($I114,'Implemente &amp; Waens'!$A:$Z,COLUMN('Implemente &amp; Waens'!M$5),FALSE))</f>
        <v>71.350000000000009</v>
      </c>
      <c r="BK114" s="414">
        <f>IF($I114=0,0,VLOOKUP($I114,'Implemente &amp; Waens'!$A:$Z,COLUMN('Implemente &amp; Waens'!N$5),FALSE))</f>
        <v>0</v>
      </c>
      <c r="BL114" s="415">
        <f t="shared" si="257"/>
        <v>71.350000000000009</v>
      </c>
      <c r="BM114" s="414">
        <f>IF($I114=0,0,VLOOKUP($I114,'Implemente &amp; Waens'!$A:$Z,COLUMN('Implemente &amp; Waens'!I$5),FALSE)*$E$9/100)</f>
        <v>160.55000000000001</v>
      </c>
      <c r="BN114" s="414">
        <f>IF($I114=0,0,VLOOKUP($I114,'Implemente &amp; Waens'!$A:$Z,COLUMN('Implemente &amp; Waens'!J$5),FALSE))</f>
        <v>11.75</v>
      </c>
      <c r="BO114" s="414">
        <f>IF($I114=0,0,VLOOKUP($I114,'Implemente &amp; Waens'!$A:$Z,COLUMN('Implemente &amp; Waens'!K$5),FALSE)/$G$8*$E$8)</f>
        <v>82.4</v>
      </c>
      <c r="BP114" s="415">
        <f t="shared" si="258"/>
        <v>254.70000000000002</v>
      </c>
      <c r="BQ114" s="416">
        <f t="shared" si="259"/>
        <v>326.05</v>
      </c>
    </row>
    <row r="115" spans="2:69">
      <c r="B115" s="427"/>
      <c r="C115" s="731" t="s">
        <v>1220</v>
      </c>
      <c r="D115" s="398"/>
      <c r="E115" s="399">
        <f>IF($D115="",0,VLOOKUP($D115,Trekkers!$A:$U,COLUMN(Trekkers!C$5),FALSE))</f>
        <v>0</v>
      </c>
      <c r="F115" s="399">
        <f>IF($D115="",0,VLOOKUP($D115,Trekkers!$A:$U,COLUMN(Trekkers!D$5),FALSE))</f>
        <v>0</v>
      </c>
      <c r="G115" s="399">
        <f>IF($D115="",0,VLOOKUP($D115,Trekkers!$A:$U,COLUMN(Trekkers!E$5),FALSE))</f>
        <v>0</v>
      </c>
      <c r="H115" s="815"/>
      <c r="I115" s="398">
        <f>'Implemente &amp; Waens'!$A$537</f>
        <v>537</v>
      </c>
      <c r="J115" s="400" t="str">
        <f>IF($I115=0,0,VLOOKUP($I115,'Implemente &amp; Waens'!$A:$Z,COLUMN('Implemente &amp; Waens'!C$5),FALSE))</f>
        <v>Ronde Baal Wrapper : Worstipe, Self-aangedrewe</v>
      </c>
      <c r="K115" s="728" t="s">
        <v>1212</v>
      </c>
      <c r="L115" s="729">
        <v>40</v>
      </c>
      <c r="M115" s="439"/>
      <c r="N115" s="429"/>
      <c r="O115" s="401"/>
      <c r="P115" s="915">
        <f t="shared" si="237"/>
        <v>4.2731250000000003</v>
      </c>
      <c r="Q115" s="915">
        <f t="shared" si="238"/>
        <v>6.3724999999999996</v>
      </c>
      <c r="R115" s="915">
        <f t="shared" si="239"/>
        <v>7.4499999999999993</v>
      </c>
      <c r="S115" s="923">
        <f t="shared" si="240"/>
        <v>8.5274999999999999</v>
      </c>
      <c r="T115" s="917">
        <f t="shared" si="241"/>
        <v>0</v>
      </c>
      <c r="U115" s="919">
        <f t="shared" si="242"/>
        <v>0</v>
      </c>
      <c r="V115" s="923">
        <f t="shared" si="243"/>
        <v>8.5274999999999999</v>
      </c>
      <c r="X115" s="404">
        <f t="shared" si="247"/>
        <v>0</v>
      </c>
      <c r="Y115" s="405">
        <f t="shared" si="248"/>
        <v>0</v>
      </c>
      <c r="Z115" s="407">
        <f t="shared" si="248"/>
        <v>0</v>
      </c>
      <c r="AA115" s="404">
        <f t="shared" si="249"/>
        <v>74.650000000000006</v>
      </c>
      <c r="AB115" s="405">
        <f t="shared" si="250"/>
        <v>266.45000000000005</v>
      </c>
      <c r="AC115" s="407">
        <f t="shared" si="250"/>
        <v>341.1</v>
      </c>
      <c r="AD115" s="408">
        <f t="shared" si="228"/>
        <v>341.1</v>
      </c>
      <c r="AE115" s="409">
        <f t="shared" si="251"/>
        <v>341.1</v>
      </c>
      <c r="AF115" s="410">
        <f t="shared" si="223"/>
        <v>40</v>
      </c>
      <c r="AG115" s="411">
        <f t="shared" si="229"/>
        <v>8.5274999999999999</v>
      </c>
      <c r="AH115" s="412">
        <f t="shared" si="252"/>
        <v>8.5274999999999999</v>
      </c>
      <c r="AJ115" s="765">
        <v>1</v>
      </c>
      <c r="AL115" s="413">
        <f t="shared" si="230"/>
        <v>0</v>
      </c>
      <c r="AM115" s="414">
        <f t="shared" si="231"/>
        <v>0</v>
      </c>
      <c r="AN115" s="414">
        <f t="shared" si="232"/>
        <v>1.8662500000000002</v>
      </c>
      <c r="AO115" s="414">
        <f t="shared" si="233"/>
        <v>0</v>
      </c>
      <c r="AP115" s="415">
        <f t="shared" si="244"/>
        <v>1.8662500000000002</v>
      </c>
      <c r="AQ115" s="414">
        <f t="shared" si="234"/>
        <v>4.1987499999999995</v>
      </c>
      <c r="AR115" s="414">
        <f t="shared" si="235"/>
        <v>0.3075</v>
      </c>
      <c r="AS115" s="414">
        <f t="shared" si="236"/>
        <v>2.1550000000000002</v>
      </c>
      <c r="AT115" s="415">
        <f t="shared" si="245"/>
        <v>6.6612499999999999</v>
      </c>
      <c r="AU115" s="416">
        <f t="shared" si="246"/>
        <v>8.5274999999999999</v>
      </c>
      <c r="AV115" s="417"/>
      <c r="AW115" s="418">
        <f t="shared" si="224"/>
        <v>0</v>
      </c>
      <c r="AX115" s="413">
        <f>IF(D115="",0,E115*VLOOKUP(H115,Trekkers!$E$141:$L$143,COLUMNS(Trekkers!$E$141:$L$141),FALSE)*AJ115)</f>
        <v>0</v>
      </c>
      <c r="AY115" s="414">
        <f t="shared" si="253"/>
        <v>0</v>
      </c>
      <c r="AZ115" s="414">
        <f>IF(D115="",0,VLOOKUP($D115,Trekkers!$A:$V,COLUMN(Trekkers!$K$5),FALSE))</f>
        <v>0</v>
      </c>
      <c r="BA115" s="414">
        <f>0</f>
        <v>0</v>
      </c>
      <c r="BB115" s="415">
        <f t="shared" si="254"/>
        <v>0</v>
      </c>
      <c r="BC115" s="414">
        <f>IF($D115="",0,VLOOKUP($D115,Trekkers!$A:$V,COLUMN(Trekkers!$G$5),FALSE)*$E$9/100)</f>
        <v>0</v>
      </c>
      <c r="BD115" s="414">
        <f>IF($D115="",0,VLOOKUP($D115,Trekkers!$A:$V,COLUMN(Trekkers!$H$5),FALSE))</f>
        <v>0</v>
      </c>
      <c r="BE115" s="414">
        <f>IF($D115="",0,VLOOKUP($D115,Trekkers!$A:$V,COLUMN(Trekkers!$I$5),FALSE)/$G$8*$E$8)</f>
        <v>0</v>
      </c>
      <c r="BF115" s="415">
        <f t="shared" si="255"/>
        <v>0</v>
      </c>
      <c r="BG115" s="416">
        <f t="shared" si="256"/>
        <v>0</v>
      </c>
      <c r="BH115" s="417"/>
      <c r="BI115" s="418">
        <f t="shared" si="226"/>
        <v>537</v>
      </c>
      <c r="BJ115" s="414">
        <f>IF($I115=0,0,VLOOKUP($I115,'Implemente &amp; Waens'!$A:$Z,COLUMN('Implemente &amp; Waens'!M$5),FALSE))</f>
        <v>74.650000000000006</v>
      </c>
      <c r="BK115" s="414">
        <f>IF($I115=0,0,VLOOKUP($I115,'Implemente &amp; Waens'!$A:$Z,COLUMN('Implemente &amp; Waens'!N$5),FALSE))</f>
        <v>0</v>
      </c>
      <c r="BL115" s="415">
        <f t="shared" si="257"/>
        <v>74.650000000000006</v>
      </c>
      <c r="BM115" s="414">
        <f>IF($I115=0,0,VLOOKUP($I115,'Implemente &amp; Waens'!$A:$Z,COLUMN('Implemente &amp; Waens'!I$5),FALSE)*$E$9/100)</f>
        <v>167.95</v>
      </c>
      <c r="BN115" s="414">
        <f>IF($I115=0,0,VLOOKUP($I115,'Implemente &amp; Waens'!$A:$Z,COLUMN('Implemente &amp; Waens'!J$5),FALSE))</f>
        <v>12.3</v>
      </c>
      <c r="BO115" s="414">
        <f>IF($I115=0,0,VLOOKUP($I115,'Implemente &amp; Waens'!$A:$Z,COLUMN('Implemente &amp; Waens'!K$5),FALSE)/$G$8*$E$8)</f>
        <v>86.200000000000017</v>
      </c>
      <c r="BP115" s="415">
        <f t="shared" si="258"/>
        <v>266.45000000000005</v>
      </c>
      <c r="BQ115" s="416">
        <f t="shared" si="259"/>
        <v>341.1</v>
      </c>
    </row>
    <row r="116" spans="2:69">
      <c r="B116" s="427"/>
      <c r="C116" s="731" t="s">
        <v>1221</v>
      </c>
      <c r="D116" s="398">
        <f>Trekkers!$A$24</f>
        <v>24</v>
      </c>
      <c r="E116" s="399">
        <f>IF($D116="",0,VLOOKUP($D116,Trekkers!$A:$U,COLUMN(Trekkers!C$5),FALSE))</f>
        <v>75</v>
      </c>
      <c r="F116" s="399">
        <f>IF($D116="",0,VLOOKUP($D116,Trekkers!$A:$U,COLUMN(Trekkers!D$5),FALSE))</f>
        <v>100.57665671962711</v>
      </c>
      <c r="G116" s="399" t="str">
        <f>IF($D116="",0,VLOOKUP($D116,Trekkers!$A:$U,COLUMN(Trekkers!E$5),FALSE))</f>
        <v>2W</v>
      </c>
      <c r="H116" s="815" t="s">
        <v>133</v>
      </c>
      <c r="I116" s="398">
        <f>'Implemente &amp; Waens'!$A$633</f>
        <v>633</v>
      </c>
      <c r="J116" s="400" t="str">
        <f>IF($I116=0,0,VLOOKUP($I116,'Implemente &amp; Waens'!$A:$Z,COLUMN('Implemente &amp; Waens'!C$5),FALSE))</f>
        <v>Laaigraaf, Vasbout, Ekstra Swaardiens (± 60kw - 90kw)</v>
      </c>
      <c r="K116" s="728" t="s">
        <v>1212</v>
      </c>
      <c r="L116" s="729">
        <v>25</v>
      </c>
      <c r="M116" s="439"/>
      <c r="N116" s="429"/>
      <c r="O116" s="401"/>
      <c r="P116" s="915">
        <f t="shared" si="237"/>
        <v>5.7189999999999994</v>
      </c>
      <c r="Q116" s="915">
        <f t="shared" si="238"/>
        <v>7.8119999999999994</v>
      </c>
      <c r="R116" s="915">
        <f t="shared" si="239"/>
        <v>9.3930000000000007</v>
      </c>
      <c r="S116" s="923">
        <f t="shared" si="240"/>
        <v>10.974</v>
      </c>
      <c r="T116" s="917">
        <f t="shared" ref="T116:T125" si="260">AL116</f>
        <v>0.47249999999999998</v>
      </c>
      <c r="U116" s="919">
        <f t="shared" ref="U116:U125" si="261">AM116</f>
        <v>5.81175</v>
      </c>
      <c r="V116" s="923">
        <f t="shared" si="243"/>
        <v>16.78575</v>
      </c>
      <c r="X116" s="404">
        <f t="shared" si="247"/>
        <v>207.19375000000002</v>
      </c>
      <c r="Y116" s="405">
        <f t="shared" si="248"/>
        <v>111.30000000000001</v>
      </c>
      <c r="Z116" s="407">
        <f t="shared" si="248"/>
        <v>318.49375000000003</v>
      </c>
      <c r="AA116" s="404">
        <f t="shared" si="249"/>
        <v>16.3</v>
      </c>
      <c r="AB116" s="405">
        <f t="shared" si="250"/>
        <v>84.85</v>
      </c>
      <c r="AC116" s="407">
        <f t="shared" si="250"/>
        <v>101.14999999999999</v>
      </c>
      <c r="AD116" s="408">
        <f t="shared" si="228"/>
        <v>274.35000000000002</v>
      </c>
      <c r="AE116" s="409">
        <f t="shared" si="251"/>
        <v>419.64375000000001</v>
      </c>
      <c r="AF116" s="410">
        <f t="shared" si="223"/>
        <v>25</v>
      </c>
      <c r="AG116" s="411">
        <f t="shared" si="229"/>
        <v>10.974</v>
      </c>
      <c r="AH116" s="412">
        <f t="shared" si="252"/>
        <v>16.78575</v>
      </c>
      <c r="AJ116" s="765">
        <v>1</v>
      </c>
      <c r="AL116" s="413">
        <f t="shared" si="230"/>
        <v>0.47249999999999998</v>
      </c>
      <c r="AM116" s="414">
        <f t="shared" si="231"/>
        <v>5.81175</v>
      </c>
      <c r="AN116" s="414">
        <f t="shared" si="232"/>
        <v>3.1280000000000001</v>
      </c>
      <c r="AO116" s="414">
        <f t="shared" si="233"/>
        <v>0</v>
      </c>
      <c r="AP116" s="415">
        <f t="shared" si="244"/>
        <v>8.9397500000000001</v>
      </c>
      <c r="AQ116" s="414">
        <f t="shared" si="234"/>
        <v>4.1859999999999999</v>
      </c>
      <c r="AR116" s="414">
        <f t="shared" si="235"/>
        <v>0.498</v>
      </c>
      <c r="AS116" s="414">
        <f t="shared" si="236"/>
        <v>3.1620000000000004</v>
      </c>
      <c r="AT116" s="415">
        <f t="shared" si="245"/>
        <v>7.8460000000000001</v>
      </c>
      <c r="AU116" s="416">
        <f t="shared" si="246"/>
        <v>16.78575</v>
      </c>
      <c r="AV116" s="417"/>
      <c r="AW116" s="418">
        <f t="shared" si="224"/>
        <v>24</v>
      </c>
      <c r="AX116" s="413">
        <f>IF(D116="",0,E116*VLOOKUP(H116,Trekkers!$E$141:$L$143,COLUMNS(Trekkers!$E$141:$L$141),FALSE)*AJ116)</f>
        <v>11.8125</v>
      </c>
      <c r="AY116" s="414">
        <f t="shared" si="253"/>
        <v>145.29375000000002</v>
      </c>
      <c r="AZ116" s="414">
        <f>IF(D116="",0,VLOOKUP($D116,Trekkers!$A:$V,COLUMN(Trekkers!$K$5),FALSE))</f>
        <v>61.900000000000006</v>
      </c>
      <c r="BA116" s="414">
        <f>0</f>
        <v>0</v>
      </c>
      <c r="BB116" s="415">
        <f t="shared" si="254"/>
        <v>207.19375000000002</v>
      </c>
      <c r="BC116" s="414">
        <f>IF($D116="",0,VLOOKUP($D116,Trekkers!$A:$V,COLUMN(Trekkers!$G$5),FALSE)*$E$9/100)</f>
        <v>55.7</v>
      </c>
      <c r="BD116" s="414">
        <f>IF($D116="",0,VLOOKUP($D116,Trekkers!$A:$V,COLUMN(Trekkers!$H$5),FALSE))</f>
        <v>7.95</v>
      </c>
      <c r="BE116" s="414">
        <f>IF($D116="",0,VLOOKUP($D116,Trekkers!$A:$V,COLUMN(Trekkers!$I$5),FALSE)/$G$8*$E$8)</f>
        <v>47.650000000000006</v>
      </c>
      <c r="BF116" s="415">
        <f t="shared" si="255"/>
        <v>111.30000000000001</v>
      </c>
      <c r="BG116" s="416">
        <f t="shared" si="256"/>
        <v>318.49375000000003</v>
      </c>
      <c r="BH116" s="417"/>
      <c r="BI116" s="418">
        <f t="shared" si="226"/>
        <v>633</v>
      </c>
      <c r="BJ116" s="414">
        <f>IF($I116=0,0,VLOOKUP($I116,'Implemente &amp; Waens'!$A:$Z,COLUMN('Implemente &amp; Waens'!M$5),FALSE))</f>
        <v>16.3</v>
      </c>
      <c r="BK116" s="414">
        <f>IF($I116=0,0,VLOOKUP($I116,'Implemente &amp; Waens'!$A:$Z,COLUMN('Implemente &amp; Waens'!N$5),FALSE))</f>
        <v>0</v>
      </c>
      <c r="BL116" s="415">
        <f t="shared" si="257"/>
        <v>16.3</v>
      </c>
      <c r="BM116" s="414">
        <f>IF($I116=0,0,VLOOKUP($I116,'Implemente &amp; Waens'!$A:$Z,COLUMN('Implemente &amp; Waens'!I$5),FALSE)*$E$9/100)</f>
        <v>48.95</v>
      </c>
      <c r="BN116" s="414">
        <f>IF($I116=0,0,VLOOKUP($I116,'Implemente &amp; Waens'!$A:$Z,COLUMN('Implemente &amp; Waens'!J$5),FALSE))</f>
        <v>4.5</v>
      </c>
      <c r="BO116" s="414">
        <f>IF($I116=0,0,VLOOKUP($I116,'Implemente &amp; Waens'!$A:$Z,COLUMN('Implemente &amp; Waens'!K$5),FALSE)/$G$8*$E$8)</f>
        <v>31.4</v>
      </c>
      <c r="BP116" s="415">
        <f t="shared" si="258"/>
        <v>84.85</v>
      </c>
      <c r="BQ116" s="416">
        <f t="shared" si="259"/>
        <v>101.14999999999999</v>
      </c>
    </row>
    <row r="117" spans="2:69">
      <c r="B117" s="427"/>
      <c r="C117" s="731" t="s">
        <v>1222</v>
      </c>
      <c r="D117" s="398">
        <f>Trekkers!$A$24</f>
        <v>24</v>
      </c>
      <c r="E117" s="399">
        <f>IF($D117="",0,VLOOKUP($D117,Trekkers!$A:$U,COLUMN(Trekkers!C$5),FALSE))</f>
        <v>75</v>
      </c>
      <c r="F117" s="399">
        <f>IF($D117="",0,VLOOKUP($D117,Trekkers!$A:$U,COLUMN(Trekkers!D$5),FALSE))</f>
        <v>100.57665671962711</v>
      </c>
      <c r="G117" s="399" t="str">
        <f>IF($D117="",0,VLOOKUP($D117,Trekkers!$A:$U,COLUMN(Trekkers!E$5),FALSE))</f>
        <v>2W</v>
      </c>
      <c r="H117" s="815" t="s">
        <v>133</v>
      </c>
      <c r="I117" s="398">
        <f>'Implemente &amp; Waens'!$A$633</f>
        <v>633</v>
      </c>
      <c r="J117" s="400" t="str">
        <f>IF($I117=0,0,VLOOKUP($I117,'Implemente &amp; Waens'!$A:$Z,COLUMN('Implemente &amp; Waens'!C$5),FALSE))</f>
        <v>Laaigraaf, Vasbout, Ekstra Swaardiens (± 60kw - 90kw)</v>
      </c>
      <c r="K117" s="728" t="s">
        <v>1212</v>
      </c>
      <c r="L117" s="729">
        <v>40</v>
      </c>
      <c r="M117" s="439"/>
      <c r="N117" s="429"/>
      <c r="O117" s="401"/>
      <c r="P117" s="915">
        <f t="shared" si="237"/>
        <v>3.5743750000000003</v>
      </c>
      <c r="Q117" s="915">
        <f t="shared" si="238"/>
        <v>4.8825000000000003</v>
      </c>
      <c r="R117" s="915">
        <f t="shared" si="239"/>
        <v>5.8706250000000004</v>
      </c>
      <c r="S117" s="923">
        <f t="shared" si="240"/>
        <v>6.8587500000000006</v>
      </c>
      <c r="T117" s="917">
        <f t="shared" si="260"/>
        <v>0.29531249999999998</v>
      </c>
      <c r="U117" s="919">
        <f t="shared" si="261"/>
        <v>3.63234375</v>
      </c>
      <c r="V117" s="923">
        <f t="shared" si="243"/>
        <v>10.491093750000001</v>
      </c>
      <c r="X117" s="404">
        <f t="shared" si="247"/>
        <v>207.19375000000002</v>
      </c>
      <c r="Y117" s="405">
        <f t="shared" si="248"/>
        <v>111.30000000000001</v>
      </c>
      <c r="Z117" s="407">
        <f t="shared" si="248"/>
        <v>318.49375000000003</v>
      </c>
      <c r="AA117" s="404">
        <f t="shared" si="249"/>
        <v>16.3</v>
      </c>
      <c r="AB117" s="405">
        <f t="shared" si="250"/>
        <v>84.85</v>
      </c>
      <c r="AC117" s="407">
        <f t="shared" si="250"/>
        <v>101.14999999999999</v>
      </c>
      <c r="AD117" s="408">
        <f t="shared" si="228"/>
        <v>274.35000000000002</v>
      </c>
      <c r="AE117" s="409">
        <f t="shared" si="251"/>
        <v>419.64375000000001</v>
      </c>
      <c r="AF117" s="410">
        <f t="shared" si="223"/>
        <v>40</v>
      </c>
      <c r="AG117" s="411">
        <f t="shared" si="229"/>
        <v>6.8587500000000006</v>
      </c>
      <c r="AH117" s="412">
        <f t="shared" si="252"/>
        <v>10.491093750000001</v>
      </c>
      <c r="AJ117" s="765">
        <v>1</v>
      </c>
      <c r="AL117" s="413">
        <f t="shared" si="230"/>
        <v>0.29531249999999998</v>
      </c>
      <c r="AM117" s="414">
        <f t="shared" si="231"/>
        <v>3.63234375</v>
      </c>
      <c r="AN117" s="414">
        <f t="shared" si="232"/>
        <v>1.9550000000000001</v>
      </c>
      <c r="AO117" s="414">
        <f t="shared" si="233"/>
        <v>0</v>
      </c>
      <c r="AP117" s="415">
        <f t="shared" si="244"/>
        <v>5.5873437500000005</v>
      </c>
      <c r="AQ117" s="414">
        <f t="shared" si="234"/>
        <v>2.61625</v>
      </c>
      <c r="AR117" s="414">
        <f t="shared" si="235"/>
        <v>0.31124999999999997</v>
      </c>
      <c r="AS117" s="414">
        <f t="shared" si="236"/>
        <v>1.9762500000000003</v>
      </c>
      <c r="AT117" s="415">
        <f t="shared" si="245"/>
        <v>4.9037500000000005</v>
      </c>
      <c r="AU117" s="416">
        <f t="shared" si="246"/>
        <v>10.491093750000001</v>
      </c>
      <c r="AV117" s="417"/>
      <c r="AW117" s="418">
        <f t="shared" si="224"/>
        <v>24</v>
      </c>
      <c r="AX117" s="413">
        <f>IF(D117="",0,E117*VLOOKUP(H117,Trekkers!$E$141:$L$143,COLUMNS(Trekkers!$E$141:$L$141),FALSE)*AJ117)</f>
        <v>11.8125</v>
      </c>
      <c r="AY117" s="414">
        <f t="shared" si="253"/>
        <v>145.29375000000002</v>
      </c>
      <c r="AZ117" s="414">
        <f>IF(D117="",0,VLOOKUP($D117,Trekkers!$A:$V,COLUMN(Trekkers!$K$5),FALSE))</f>
        <v>61.900000000000006</v>
      </c>
      <c r="BA117" s="414">
        <f>0</f>
        <v>0</v>
      </c>
      <c r="BB117" s="415">
        <f t="shared" si="254"/>
        <v>207.19375000000002</v>
      </c>
      <c r="BC117" s="414">
        <f>IF($D117="",0,VLOOKUP($D117,Trekkers!$A:$V,COLUMN(Trekkers!$G$5),FALSE)*$E$9/100)</f>
        <v>55.7</v>
      </c>
      <c r="BD117" s="414">
        <f>IF($D117="",0,VLOOKUP($D117,Trekkers!$A:$V,COLUMN(Trekkers!$H$5),FALSE))</f>
        <v>7.95</v>
      </c>
      <c r="BE117" s="414">
        <f>IF($D117="",0,VLOOKUP($D117,Trekkers!$A:$V,COLUMN(Trekkers!$I$5),FALSE)/$G$8*$E$8)</f>
        <v>47.650000000000006</v>
      </c>
      <c r="BF117" s="415">
        <f t="shared" si="255"/>
        <v>111.30000000000001</v>
      </c>
      <c r="BG117" s="416">
        <f t="shared" si="256"/>
        <v>318.49375000000003</v>
      </c>
      <c r="BH117" s="417"/>
      <c r="BI117" s="418">
        <f t="shared" si="226"/>
        <v>633</v>
      </c>
      <c r="BJ117" s="414">
        <f>IF($I117=0,0,VLOOKUP($I117,'Implemente &amp; Waens'!$A:$Z,COLUMN('Implemente &amp; Waens'!M$5),FALSE))</f>
        <v>16.3</v>
      </c>
      <c r="BK117" s="414">
        <f>IF($I117=0,0,VLOOKUP($I117,'Implemente &amp; Waens'!$A:$Z,COLUMN('Implemente &amp; Waens'!N$5),FALSE))</f>
        <v>0</v>
      </c>
      <c r="BL117" s="415">
        <f t="shared" si="257"/>
        <v>16.3</v>
      </c>
      <c r="BM117" s="414">
        <f>IF($I117=0,0,VLOOKUP($I117,'Implemente &amp; Waens'!$A:$Z,COLUMN('Implemente &amp; Waens'!I$5),FALSE)*$E$9/100)</f>
        <v>48.95</v>
      </c>
      <c r="BN117" s="414">
        <f>IF($I117=0,0,VLOOKUP($I117,'Implemente &amp; Waens'!$A:$Z,COLUMN('Implemente &amp; Waens'!J$5),FALSE))</f>
        <v>4.5</v>
      </c>
      <c r="BO117" s="414">
        <f>IF($I117=0,0,VLOOKUP($I117,'Implemente &amp; Waens'!$A:$Z,COLUMN('Implemente &amp; Waens'!K$5),FALSE)/$G$8*$E$8)</f>
        <v>31.4</v>
      </c>
      <c r="BP117" s="415">
        <f t="shared" si="258"/>
        <v>84.85</v>
      </c>
      <c r="BQ117" s="416">
        <f t="shared" si="259"/>
        <v>101.14999999999999</v>
      </c>
    </row>
    <row r="118" spans="2:69">
      <c r="B118" s="427"/>
      <c r="C118" s="731" t="s">
        <v>1223</v>
      </c>
      <c r="D118" s="398">
        <f>Trekkers!$A$51</f>
        <v>51</v>
      </c>
      <c r="E118" s="399">
        <f>IF($D118="",0,VLOOKUP($D118,Trekkers!$A:$U,COLUMN(Trekkers!C$5),FALSE))</f>
        <v>75</v>
      </c>
      <c r="F118" s="399">
        <f>IF($D118="",0,VLOOKUP($D118,Trekkers!$A:$U,COLUMN(Trekkers!D$5),FALSE))</f>
        <v>100.57665671962711</v>
      </c>
      <c r="G118" s="399" t="str">
        <f>IF($D118="",0,VLOOKUP($D118,Trekkers!$A:$U,COLUMN(Trekkers!E$5),FALSE))</f>
        <v>4W</v>
      </c>
      <c r="H118" s="815" t="s">
        <v>133</v>
      </c>
      <c r="I118" s="398">
        <f>'Implemente &amp; Waens'!$A$633</f>
        <v>633</v>
      </c>
      <c r="J118" s="400" t="str">
        <f>IF($I118=0,0,VLOOKUP($I118,'Implemente &amp; Waens'!$A:$Z,COLUMN('Implemente &amp; Waens'!C$5),FALSE))</f>
        <v>Laaigraaf, Vasbout, Ekstra Swaardiens (± 60kw - 90kw)</v>
      </c>
      <c r="K118" s="728" t="s">
        <v>1226</v>
      </c>
      <c r="L118" s="729">
        <v>1</v>
      </c>
      <c r="M118" s="439"/>
      <c r="N118" s="429"/>
      <c r="O118" s="401"/>
      <c r="P118" s="915">
        <f t="shared" si="237"/>
        <v>176.2</v>
      </c>
      <c r="Q118" s="915">
        <f t="shared" si="238"/>
        <v>238</v>
      </c>
      <c r="R118" s="915">
        <f t="shared" si="239"/>
        <v>285.625</v>
      </c>
      <c r="S118" s="923">
        <f t="shared" si="240"/>
        <v>333.25</v>
      </c>
      <c r="T118" s="917">
        <f t="shared" si="260"/>
        <v>11.8125</v>
      </c>
      <c r="U118" s="919">
        <f t="shared" si="261"/>
        <v>145.29375000000002</v>
      </c>
      <c r="V118" s="923">
        <f t="shared" si="243"/>
        <v>478.54375000000005</v>
      </c>
      <c r="X118" s="404">
        <f t="shared" si="247"/>
        <v>228.24375000000003</v>
      </c>
      <c r="Y118" s="405">
        <f t="shared" si="248"/>
        <v>149.15</v>
      </c>
      <c r="Z118" s="407">
        <f t="shared" si="248"/>
        <v>377.39375000000007</v>
      </c>
      <c r="AA118" s="404">
        <f t="shared" si="249"/>
        <v>16.3</v>
      </c>
      <c r="AB118" s="405">
        <f t="shared" si="250"/>
        <v>84.85</v>
      </c>
      <c r="AC118" s="407">
        <f t="shared" si="250"/>
        <v>101.14999999999999</v>
      </c>
      <c r="AD118" s="408">
        <f t="shared" si="228"/>
        <v>333.25</v>
      </c>
      <c r="AE118" s="409">
        <f t="shared" si="251"/>
        <v>478.54375000000005</v>
      </c>
      <c r="AF118" s="410">
        <f t="shared" si="223"/>
        <v>1</v>
      </c>
      <c r="AG118" s="411">
        <f t="shared" si="229"/>
        <v>333.25</v>
      </c>
      <c r="AH118" s="412">
        <f t="shared" si="252"/>
        <v>478.54375000000005</v>
      </c>
      <c r="AJ118" s="765">
        <v>1</v>
      </c>
      <c r="AL118" s="413">
        <f t="shared" si="230"/>
        <v>11.8125</v>
      </c>
      <c r="AM118" s="414">
        <f t="shared" si="231"/>
        <v>145.29375000000002</v>
      </c>
      <c r="AN118" s="414">
        <f t="shared" si="232"/>
        <v>99.25</v>
      </c>
      <c r="AO118" s="414">
        <f t="shared" si="233"/>
        <v>0</v>
      </c>
      <c r="AP118" s="415">
        <f t="shared" si="244"/>
        <v>244.54375000000002</v>
      </c>
      <c r="AQ118" s="414">
        <f t="shared" si="234"/>
        <v>123.60000000000001</v>
      </c>
      <c r="AR118" s="414">
        <f t="shared" si="235"/>
        <v>15.15</v>
      </c>
      <c r="AS118" s="414">
        <f t="shared" si="236"/>
        <v>95.25</v>
      </c>
      <c r="AT118" s="415">
        <f t="shared" si="245"/>
        <v>234</v>
      </c>
      <c r="AU118" s="416">
        <f t="shared" si="246"/>
        <v>478.54375000000005</v>
      </c>
      <c r="AV118" s="417"/>
      <c r="AW118" s="418">
        <f t="shared" si="224"/>
        <v>51</v>
      </c>
      <c r="AX118" s="413">
        <f>IF(D118="",0,E118*VLOOKUP(H118,Trekkers!$E$141:$L$143,COLUMNS(Trekkers!$E$141:$L$141),FALSE)*AJ118)</f>
        <v>11.8125</v>
      </c>
      <c r="AY118" s="414">
        <f t="shared" si="253"/>
        <v>145.29375000000002</v>
      </c>
      <c r="AZ118" s="414">
        <f>IF(D118="",0,VLOOKUP($D118,Trekkers!$A:$V,COLUMN(Trekkers!$K$5),FALSE))</f>
        <v>82.95</v>
      </c>
      <c r="BA118" s="414">
        <f>0</f>
        <v>0</v>
      </c>
      <c r="BB118" s="415">
        <f t="shared" si="254"/>
        <v>228.24375000000003</v>
      </c>
      <c r="BC118" s="414">
        <f>IF($D118="",0,VLOOKUP($D118,Trekkers!$A:$V,COLUMN(Trekkers!$G$5),FALSE)*$E$9/100)</f>
        <v>74.650000000000006</v>
      </c>
      <c r="BD118" s="414">
        <f>IF($D118="",0,VLOOKUP($D118,Trekkers!$A:$V,COLUMN(Trekkers!$H$5),FALSE))</f>
        <v>10.65</v>
      </c>
      <c r="BE118" s="414">
        <f>IF($D118="",0,VLOOKUP($D118,Trekkers!$A:$V,COLUMN(Trekkers!$I$5),FALSE)/$G$8*$E$8)</f>
        <v>63.849999999999994</v>
      </c>
      <c r="BF118" s="415">
        <f t="shared" si="255"/>
        <v>149.15</v>
      </c>
      <c r="BG118" s="416">
        <f t="shared" si="256"/>
        <v>377.39375000000007</v>
      </c>
      <c r="BH118" s="417"/>
      <c r="BI118" s="418">
        <f t="shared" si="226"/>
        <v>633</v>
      </c>
      <c r="BJ118" s="414">
        <f>IF($I118=0,0,VLOOKUP($I118,'Implemente &amp; Waens'!$A:$Z,COLUMN('Implemente &amp; Waens'!M$5),FALSE))</f>
        <v>16.3</v>
      </c>
      <c r="BK118" s="414">
        <f>IF($I118=0,0,VLOOKUP($I118,'Implemente &amp; Waens'!$A:$Z,COLUMN('Implemente &amp; Waens'!N$5),FALSE))</f>
        <v>0</v>
      </c>
      <c r="BL118" s="415">
        <f t="shared" si="257"/>
        <v>16.3</v>
      </c>
      <c r="BM118" s="414">
        <f>IF($I118=0,0,VLOOKUP($I118,'Implemente &amp; Waens'!$A:$Z,COLUMN('Implemente &amp; Waens'!I$5),FALSE)*$E$9/100)</f>
        <v>48.95</v>
      </c>
      <c r="BN118" s="414">
        <f>IF($I118=0,0,VLOOKUP($I118,'Implemente &amp; Waens'!$A:$Z,COLUMN('Implemente &amp; Waens'!J$5),FALSE))</f>
        <v>4.5</v>
      </c>
      <c r="BO118" s="414">
        <f>IF($I118=0,0,VLOOKUP($I118,'Implemente &amp; Waens'!$A:$Z,COLUMN('Implemente &amp; Waens'!K$5),FALSE)/$G$8*$E$8)</f>
        <v>31.4</v>
      </c>
      <c r="BP118" s="415">
        <f t="shared" si="258"/>
        <v>84.85</v>
      </c>
      <c r="BQ118" s="416">
        <f t="shared" si="259"/>
        <v>101.14999999999999</v>
      </c>
    </row>
    <row r="119" spans="2:69">
      <c r="B119" s="427"/>
      <c r="C119" s="731" t="s">
        <v>1224</v>
      </c>
      <c r="D119" s="398">
        <f>Trekkers!$A$51</f>
        <v>51</v>
      </c>
      <c r="E119" s="399">
        <f>IF($D119="",0,VLOOKUP($D119,Trekkers!$A:$U,COLUMN(Trekkers!C$5),FALSE))</f>
        <v>75</v>
      </c>
      <c r="F119" s="399">
        <f>IF($D119="",0,VLOOKUP($D119,Trekkers!$A:$U,COLUMN(Trekkers!D$5),FALSE))</f>
        <v>100.57665671962711</v>
      </c>
      <c r="G119" s="399" t="str">
        <f>IF($D119="",0,VLOOKUP($D119,Trekkers!$A:$U,COLUMN(Trekkers!E$5),FALSE))</f>
        <v>4W</v>
      </c>
      <c r="H119" s="815" t="s">
        <v>133</v>
      </c>
      <c r="I119" s="398">
        <f>'Implemente &amp; Waens'!$A$623</f>
        <v>623</v>
      </c>
      <c r="J119" s="400" t="str">
        <f>IF($I119=0,0,VLOOKUP($I119,'Implemente &amp; Waens'!$A:$Z,COLUMN('Implemente &amp; Waens'!C$5),FALSE))</f>
        <v>Waterkar - 5000 L</v>
      </c>
      <c r="K119" s="728" t="s">
        <v>1226</v>
      </c>
      <c r="L119" s="729">
        <v>1</v>
      </c>
      <c r="M119" s="439"/>
      <c r="N119" s="429"/>
      <c r="O119" s="401"/>
      <c r="P119" s="915">
        <f t="shared" si="237"/>
        <v>161.70000000000002</v>
      </c>
      <c r="Q119" s="915">
        <f t="shared" si="238"/>
        <v>207.3</v>
      </c>
      <c r="R119" s="915">
        <f t="shared" si="239"/>
        <v>292.27499999999998</v>
      </c>
      <c r="S119" s="923">
        <f t="shared" si="240"/>
        <v>377.25</v>
      </c>
      <c r="T119" s="917">
        <f t="shared" si="260"/>
        <v>11.8125</v>
      </c>
      <c r="U119" s="919">
        <f t="shared" si="261"/>
        <v>145.29375000000002</v>
      </c>
      <c r="V119" s="923">
        <f t="shared" si="243"/>
        <v>522.54375000000005</v>
      </c>
      <c r="X119" s="404">
        <f t="shared" si="247"/>
        <v>228.24375000000003</v>
      </c>
      <c r="Y119" s="405">
        <f t="shared" si="248"/>
        <v>149.15</v>
      </c>
      <c r="Z119" s="407">
        <f t="shared" si="248"/>
        <v>377.39375000000007</v>
      </c>
      <c r="AA119" s="404">
        <f t="shared" si="249"/>
        <v>7.3500000000000005</v>
      </c>
      <c r="AB119" s="405">
        <f t="shared" si="250"/>
        <v>137.80000000000001</v>
      </c>
      <c r="AC119" s="407">
        <f t="shared" si="250"/>
        <v>145.15</v>
      </c>
      <c r="AD119" s="408">
        <f t="shared" si="228"/>
        <v>377.25</v>
      </c>
      <c r="AE119" s="409">
        <f t="shared" si="251"/>
        <v>522.54375000000005</v>
      </c>
      <c r="AF119" s="410">
        <f t="shared" si="223"/>
        <v>1</v>
      </c>
      <c r="AG119" s="411">
        <f t="shared" si="229"/>
        <v>377.25</v>
      </c>
      <c r="AH119" s="412">
        <f t="shared" si="252"/>
        <v>522.54375000000005</v>
      </c>
      <c r="AJ119" s="765">
        <v>1</v>
      </c>
      <c r="AL119" s="413">
        <f t="shared" si="230"/>
        <v>11.8125</v>
      </c>
      <c r="AM119" s="414">
        <f t="shared" si="231"/>
        <v>145.29375000000002</v>
      </c>
      <c r="AN119" s="414">
        <f t="shared" si="232"/>
        <v>90.3</v>
      </c>
      <c r="AO119" s="414">
        <f t="shared" si="233"/>
        <v>0</v>
      </c>
      <c r="AP119" s="415">
        <f t="shared" si="244"/>
        <v>235.59375</v>
      </c>
      <c r="AQ119" s="414">
        <f t="shared" si="234"/>
        <v>91.2</v>
      </c>
      <c r="AR119" s="414">
        <f t="shared" si="235"/>
        <v>25.8</v>
      </c>
      <c r="AS119" s="414">
        <f t="shared" si="236"/>
        <v>169.95</v>
      </c>
      <c r="AT119" s="415">
        <f t="shared" si="245"/>
        <v>286.95</v>
      </c>
      <c r="AU119" s="416">
        <f t="shared" si="246"/>
        <v>522.54375000000005</v>
      </c>
      <c r="AV119" s="417"/>
      <c r="AW119" s="418">
        <f t="shared" si="224"/>
        <v>51</v>
      </c>
      <c r="AX119" s="413">
        <f>IF(D119="",0,E119*VLOOKUP(H119,Trekkers!$E$141:$L$143,COLUMNS(Trekkers!$E$141:$L$141),FALSE)*AJ119)</f>
        <v>11.8125</v>
      </c>
      <c r="AY119" s="414">
        <f t="shared" si="253"/>
        <v>145.29375000000002</v>
      </c>
      <c r="AZ119" s="414">
        <f>IF(D119="",0,VLOOKUP($D119,Trekkers!$A:$V,COLUMN(Trekkers!$K$5),FALSE))</f>
        <v>82.95</v>
      </c>
      <c r="BA119" s="414">
        <f>0</f>
        <v>0</v>
      </c>
      <c r="BB119" s="415">
        <f t="shared" si="254"/>
        <v>228.24375000000003</v>
      </c>
      <c r="BC119" s="414">
        <f>IF($D119="",0,VLOOKUP($D119,Trekkers!$A:$V,COLUMN(Trekkers!$G$5),FALSE)*$E$9/100)</f>
        <v>74.650000000000006</v>
      </c>
      <c r="BD119" s="414">
        <f>IF($D119="",0,VLOOKUP($D119,Trekkers!$A:$V,COLUMN(Trekkers!$H$5),FALSE))</f>
        <v>10.65</v>
      </c>
      <c r="BE119" s="414">
        <f>IF($D119="",0,VLOOKUP($D119,Trekkers!$A:$V,COLUMN(Trekkers!$I$5),FALSE)/$G$8*$E$8)</f>
        <v>63.849999999999994</v>
      </c>
      <c r="BF119" s="415">
        <f t="shared" si="255"/>
        <v>149.15</v>
      </c>
      <c r="BG119" s="416">
        <f t="shared" si="256"/>
        <v>377.39375000000007</v>
      </c>
      <c r="BH119" s="417"/>
      <c r="BI119" s="418">
        <f t="shared" si="226"/>
        <v>623</v>
      </c>
      <c r="BJ119" s="414">
        <f>IF($I119=0,0,VLOOKUP($I119,'Implemente &amp; Waens'!$A:$Z,COLUMN('Implemente &amp; Waens'!M$5),FALSE))</f>
        <v>7.3500000000000005</v>
      </c>
      <c r="BK119" s="414">
        <f>IF($I119=0,0,VLOOKUP($I119,'Implemente &amp; Waens'!$A:$Z,COLUMN('Implemente &amp; Waens'!N$5),FALSE))</f>
        <v>0</v>
      </c>
      <c r="BL119" s="415">
        <f t="shared" si="257"/>
        <v>7.3500000000000005</v>
      </c>
      <c r="BM119" s="414">
        <f>IF($I119=0,0,VLOOKUP($I119,'Implemente &amp; Waens'!$A:$Z,COLUMN('Implemente &amp; Waens'!I$5),FALSE)*$E$9/100)</f>
        <v>16.55</v>
      </c>
      <c r="BN119" s="414">
        <f>IF($I119=0,0,VLOOKUP($I119,'Implemente &amp; Waens'!$A:$Z,COLUMN('Implemente &amp; Waens'!J$5),FALSE))</f>
        <v>15.15</v>
      </c>
      <c r="BO119" s="414">
        <f>IF($I119=0,0,VLOOKUP($I119,'Implemente &amp; Waens'!$A:$Z,COLUMN('Implemente &amp; Waens'!K$5),FALSE)/$G$8*$E$8)</f>
        <v>106.10000000000001</v>
      </c>
      <c r="BP119" s="415">
        <f t="shared" si="258"/>
        <v>137.80000000000001</v>
      </c>
      <c r="BQ119" s="416">
        <f t="shared" si="259"/>
        <v>145.15</v>
      </c>
    </row>
    <row r="120" spans="2:69">
      <c r="B120" s="427"/>
      <c r="C120" s="731"/>
      <c r="D120" s="398"/>
      <c r="E120" s="399">
        <f>IF($D120="",0,VLOOKUP($D120,Trekkers!$A:$U,COLUMN(Trekkers!C$5),FALSE))</f>
        <v>0</v>
      </c>
      <c r="F120" s="399">
        <f>IF($D120="",0,VLOOKUP($D120,Trekkers!$A:$U,COLUMN(Trekkers!D$5),FALSE))</f>
        <v>0</v>
      </c>
      <c r="G120" s="399">
        <f>IF($D120="",0,VLOOKUP($D120,Trekkers!$A:$U,COLUMN(Trekkers!E$5),FALSE))</f>
        <v>0</v>
      </c>
      <c r="H120" s="815"/>
      <c r="I120" s="398"/>
      <c r="J120" s="400">
        <f>IF($I120=0,0,VLOOKUP($I120,'Implemente &amp; Waens'!$A:$Z,COLUMN('Implemente &amp; Waens'!C$5),FALSE))</f>
        <v>0</v>
      </c>
      <c r="K120" s="728"/>
      <c r="L120" s="729"/>
      <c r="M120" s="439"/>
      <c r="N120" s="429"/>
      <c r="O120" s="401"/>
      <c r="P120" s="915">
        <f t="shared" si="237"/>
        <v>0</v>
      </c>
      <c r="Q120" s="915">
        <f t="shared" si="238"/>
        <v>0</v>
      </c>
      <c r="R120" s="915">
        <f t="shared" si="239"/>
        <v>0</v>
      </c>
      <c r="S120" s="923">
        <f t="shared" si="240"/>
        <v>0</v>
      </c>
      <c r="T120" s="917">
        <f t="shared" si="260"/>
        <v>0</v>
      </c>
      <c r="U120" s="919">
        <f t="shared" si="261"/>
        <v>0</v>
      </c>
      <c r="V120" s="923">
        <f t="shared" si="243"/>
        <v>0</v>
      </c>
      <c r="X120" s="404">
        <f t="shared" si="247"/>
        <v>0</v>
      </c>
      <c r="Y120" s="405">
        <f t="shared" si="248"/>
        <v>0</v>
      </c>
      <c r="Z120" s="407">
        <f t="shared" si="248"/>
        <v>0</v>
      </c>
      <c r="AA120" s="404">
        <f t="shared" si="249"/>
        <v>0</v>
      </c>
      <c r="AB120" s="405">
        <f t="shared" si="250"/>
        <v>0</v>
      </c>
      <c r="AC120" s="407">
        <f t="shared" si="250"/>
        <v>0</v>
      </c>
      <c r="AD120" s="408">
        <f t="shared" si="228"/>
        <v>0</v>
      </c>
      <c r="AE120" s="409">
        <f t="shared" si="251"/>
        <v>0</v>
      </c>
      <c r="AF120" s="410">
        <f t="shared" si="223"/>
        <v>0</v>
      </c>
      <c r="AG120" s="411">
        <f t="shared" si="229"/>
        <v>0</v>
      </c>
      <c r="AH120" s="412">
        <f t="shared" si="252"/>
        <v>0</v>
      </c>
      <c r="AJ120" s="765">
        <v>1</v>
      </c>
      <c r="AL120" s="413">
        <f t="shared" si="230"/>
        <v>0</v>
      </c>
      <c r="AM120" s="414">
        <f t="shared" si="231"/>
        <v>0</v>
      </c>
      <c r="AN120" s="414">
        <f t="shared" si="232"/>
        <v>0</v>
      </c>
      <c r="AO120" s="414">
        <f t="shared" si="233"/>
        <v>0</v>
      </c>
      <c r="AP120" s="415">
        <f t="shared" si="244"/>
        <v>0</v>
      </c>
      <c r="AQ120" s="414">
        <f t="shared" si="234"/>
        <v>0</v>
      </c>
      <c r="AR120" s="414">
        <f t="shared" si="235"/>
        <v>0</v>
      </c>
      <c r="AS120" s="414">
        <f t="shared" si="236"/>
        <v>0</v>
      </c>
      <c r="AT120" s="415">
        <f t="shared" si="245"/>
        <v>0</v>
      </c>
      <c r="AU120" s="416">
        <f t="shared" si="246"/>
        <v>0</v>
      </c>
      <c r="AV120" s="417"/>
      <c r="AW120" s="418">
        <f t="shared" si="224"/>
        <v>0</v>
      </c>
      <c r="AX120" s="413">
        <f>IF(D120="",0,E120*VLOOKUP(H120,Trekkers!$E$141:$L$143,COLUMNS(Trekkers!$E$141:$L$141),FALSE)*AJ120)</f>
        <v>0</v>
      </c>
      <c r="AY120" s="414">
        <f t="shared" si="253"/>
        <v>0</v>
      </c>
      <c r="AZ120" s="414">
        <f>IF(D120="",0,VLOOKUP($D120,Trekkers!$A:$V,COLUMN(Trekkers!$K$5),FALSE))</f>
        <v>0</v>
      </c>
      <c r="BA120" s="414">
        <f>0</f>
        <v>0</v>
      </c>
      <c r="BB120" s="415">
        <f t="shared" si="254"/>
        <v>0</v>
      </c>
      <c r="BC120" s="414">
        <f>IF($D120="",0,VLOOKUP($D120,Trekkers!$A:$V,COLUMN(Trekkers!$G$5),FALSE)*$E$9/100)</f>
        <v>0</v>
      </c>
      <c r="BD120" s="414">
        <f>IF($D120="",0,VLOOKUP($D120,Trekkers!$A:$V,COLUMN(Trekkers!$H$5),FALSE))</f>
        <v>0</v>
      </c>
      <c r="BE120" s="414">
        <f>IF($D120="",0,VLOOKUP($D120,Trekkers!$A:$V,COLUMN(Trekkers!$I$5),FALSE)/$G$8*$E$8)</f>
        <v>0</v>
      </c>
      <c r="BF120" s="415">
        <f t="shared" si="255"/>
        <v>0</v>
      </c>
      <c r="BG120" s="416">
        <f t="shared" si="256"/>
        <v>0</v>
      </c>
      <c r="BH120" s="417"/>
      <c r="BI120" s="418">
        <f t="shared" si="226"/>
        <v>0</v>
      </c>
      <c r="BJ120" s="414">
        <f>IF($I120=0,0,VLOOKUP($I120,'Implemente &amp; Waens'!$A:$Z,COLUMN('Implemente &amp; Waens'!M$5),FALSE))</f>
        <v>0</v>
      </c>
      <c r="BK120" s="414">
        <f>IF($I120=0,0,VLOOKUP($I120,'Implemente &amp; Waens'!$A:$Z,COLUMN('Implemente &amp; Waens'!N$5),FALSE))</f>
        <v>0</v>
      </c>
      <c r="BL120" s="415">
        <f t="shared" si="257"/>
        <v>0</v>
      </c>
      <c r="BM120" s="414">
        <f>IF($I120=0,0,VLOOKUP($I120,'Implemente &amp; Waens'!$A:$Z,COLUMN('Implemente &amp; Waens'!I$5),FALSE)*$E$9/100)</f>
        <v>0</v>
      </c>
      <c r="BN120" s="414">
        <f>IF($I120=0,0,VLOOKUP($I120,'Implemente &amp; Waens'!$A:$Z,COLUMN('Implemente &amp; Waens'!J$5),FALSE))</f>
        <v>0</v>
      </c>
      <c r="BO120" s="414">
        <f>IF($I120=0,0,VLOOKUP($I120,'Implemente &amp; Waens'!$A:$Z,COLUMN('Implemente &amp; Waens'!K$5),FALSE)/$G$8*$E$8)</f>
        <v>0</v>
      </c>
      <c r="BP120" s="415">
        <f t="shared" si="258"/>
        <v>0</v>
      </c>
      <c r="BQ120" s="416">
        <f t="shared" si="259"/>
        <v>0</v>
      </c>
    </row>
    <row r="121" spans="2:69">
      <c r="B121" s="427"/>
      <c r="C121" s="731"/>
      <c r="D121" s="398"/>
      <c r="E121" s="399">
        <f>IF($D121="",0,VLOOKUP($D121,Trekkers!$A:$U,COLUMN(Trekkers!C$5),FALSE))</f>
        <v>0</v>
      </c>
      <c r="F121" s="399">
        <f>IF($D121="",0,VLOOKUP($D121,Trekkers!$A:$U,COLUMN(Trekkers!D$5),FALSE))</f>
        <v>0</v>
      </c>
      <c r="G121" s="399">
        <f>IF($D121="",0,VLOOKUP($D121,Trekkers!$A:$U,COLUMN(Trekkers!E$5),FALSE))</f>
        <v>0</v>
      </c>
      <c r="H121" s="815"/>
      <c r="I121" s="398"/>
      <c r="J121" s="400">
        <f>IF($I121=0,0,VLOOKUP($I121,'Implemente &amp; Waens'!$A:$Z,COLUMN('Implemente &amp; Waens'!C$5),FALSE))</f>
        <v>0</v>
      </c>
      <c r="K121" s="728"/>
      <c r="L121" s="729"/>
      <c r="M121" s="439"/>
      <c r="N121" s="429"/>
      <c r="O121" s="401"/>
      <c r="P121" s="915">
        <f t="shared" si="237"/>
        <v>0</v>
      </c>
      <c r="Q121" s="915">
        <f t="shared" si="238"/>
        <v>0</v>
      </c>
      <c r="R121" s="915">
        <f t="shared" si="239"/>
        <v>0</v>
      </c>
      <c r="S121" s="923">
        <f t="shared" si="240"/>
        <v>0</v>
      </c>
      <c r="T121" s="917">
        <f t="shared" si="260"/>
        <v>0</v>
      </c>
      <c r="U121" s="919">
        <f t="shared" si="261"/>
        <v>0</v>
      </c>
      <c r="V121" s="923">
        <f t="shared" si="243"/>
        <v>0</v>
      </c>
      <c r="X121" s="404">
        <f t="shared" si="247"/>
        <v>0</v>
      </c>
      <c r="Y121" s="405">
        <f t="shared" si="248"/>
        <v>0</v>
      </c>
      <c r="Z121" s="407">
        <f t="shared" si="248"/>
        <v>0</v>
      </c>
      <c r="AA121" s="404">
        <f t="shared" si="249"/>
        <v>0</v>
      </c>
      <c r="AB121" s="405">
        <f t="shared" si="250"/>
        <v>0</v>
      </c>
      <c r="AC121" s="407">
        <f t="shared" si="250"/>
        <v>0</v>
      </c>
      <c r="AD121" s="408">
        <f t="shared" si="228"/>
        <v>0</v>
      </c>
      <c r="AE121" s="409">
        <f t="shared" si="251"/>
        <v>0</v>
      </c>
      <c r="AF121" s="410">
        <f t="shared" si="223"/>
        <v>0</v>
      </c>
      <c r="AG121" s="411">
        <f t="shared" si="229"/>
        <v>0</v>
      </c>
      <c r="AH121" s="412">
        <f t="shared" si="252"/>
        <v>0</v>
      </c>
      <c r="AJ121" s="765">
        <v>1</v>
      </c>
      <c r="AL121" s="413">
        <f t="shared" si="230"/>
        <v>0</v>
      </c>
      <c r="AM121" s="414">
        <f t="shared" si="231"/>
        <v>0</v>
      </c>
      <c r="AN121" s="414">
        <f t="shared" si="232"/>
        <v>0</v>
      </c>
      <c r="AO121" s="414">
        <f t="shared" si="233"/>
        <v>0</v>
      </c>
      <c r="AP121" s="415">
        <f t="shared" si="244"/>
        <v>0</v>
      </c>
      <c r="AQ121" s="414">
        <f t="shared" si="234"/>
        <v>0</v>
      </c>
      <c r="AR121" s="414">
        <f t="shared" si="235"/>
        <v>0</v>
      </c>
      <c r="AS121" s="414">
        <f t="shared" si="236"/>
        <v>0</v>
      </c>
      <c r="AT121" s="415">
        <f t="shared" si="245"/>
        <v>0</v>
      </c>
      <c r="AU121" s="416">
        <f t="shared" si="246"/>
        <v>0</v>
      </c>
      <c r="AV121" s="417"/>
      <c r="AW121" s="418">
        <f t="shared" si="224"/>
        <v>0</v>
      </c>
      <c r="AX121" s="413">
        <f>IF(D121="",0,E121*VLOOKUP(H121,Trekkers!$E$141:$L$143,COLUMNS(Trekkers!$E$141:$L$141),FALSE)*AJ121)</f>
        <v>0</v>
      </c>
      <c r="AY121" s="414">
        <f t="shared" si="253"/>
        <v>0</v>
      </c>
      <c r="AZ121" s="414">
        <f>IF(D121="",0,VLOOKUP($D121,Trekkers!$A:$V,COLUMN(Trekkers!$K$5),FALSE))</f>
        <v>0</v>
      </c>
      <c r="BA121" s="414">
        <f>0</f>
        <v>0</v>
      </c>
      <c r="BB121" s="415">
        <f t="shared" si="254"/>
        <v>0</v>
      </c>
      <c r="BC121" s="414">
        <f>IF($D121="",0,VLOOKUP($D121,Trekkers!$A:$V,COLUMN(Trekkers!$G$5),FALSE)*$E$9/100)</f>
        <v>0</v>
      </c>
      <c r="BD121" s="414">
        <f>IF($D121="",0,VLOOKUP($D121,Trekkers!$A:$V,COLUMN(Trekkers!$H$5),FALSE))</f>
        <v>0</v>
      </c>
      <c r="BE121" s="414">
        <f>IF($D121="",0,VLOOKUP($D121,Trekkers!$A:$V,COLUMN(Trekkers!$I$5),FALSE)/$G$8*$E$8)</f>
        <v>0</v>
      </c>
      <c r="BF121" s="415">
        <f t="shared" si="255"/>
        <v>0</v>
      </c>
      <c r="BG121" s="416">
        <f t="shared" si="256"/>
        <v>0</v>
      </c>
      <c r="BH121" s="417"/>
      <c r="BI121" s="418">
        <f t="shared" si="226"/>
        <v>0</v>
      </c>
      <c r="BJ121" s="414">
        <f>IF($I121=0,0,VLOOKUP($I121,'Implemente &amp; Waens'!$A:$Z,COLUMN('Implemente &amp; Waens'!M$5),FALSE))</f>
        <v>0</v>
      </c>
      <c r="BK121" s="414">
        <f>IF($I121=0,0,VLOOKUP($I121,'Implemente &amp; Waens'!$A:$Z,COLUMN('Implemente &amp; Waens'!N$5),FALSE))</f>
        <v>0</v>
      </c>
      <c r="BL121" s="415">
        <f t="shared" si="257"/>
        <v>0</v>
      </c>
      <c r="BM121" s="414">
        <f>IF($I121=0,0,VLOOKUP($I121,'Implemente &amp; Waens'!$A:$Z,COLUMN('Implemente &amp; Waens'!I$5),FALSE)*$E$9/100)</f>
        <v>0</v>
      </c>
      <c r="BN121" s="414">
        <f>IF($I121=0,0,VLOOKUP($I121,'Implemente &amp; Waens'!$A:$Z,COLUMN('Implemente &amp; Waens'!J$5),FALSE))</f>
        <v>0</v>
      </c>
      <c r="BO121" s="414">
        <f>IF($I121=0,0,VLOOKUP($I121,'Implemente &amp; Waens'!$A:$Z,COLUMN('Implemente &amp; Waens'!K$5),FALSE)/$G$8*$E$8)</f>
        <v>0</v>
      </c>
      <c r="BP121" s="415">
        <f t="shared" si="258"/>
        <v>0</v>
      </c>
      <c r="BQ121" s="416">
        <f t="shared" si="259"/>
        <v>0</v>
      </c>
    </row>
    <row r="122" spans="2:69">
      <c r="B122" s="427"/>
      <c r="C122" s="731"/>
      <c r="D122" s="398"/>
      <c r="E122" s="399">
        <f>IF($D122="",0,VLOOKUP($D122,Trekkers!$A:$U,COLUMN(Trekkers!C$5),FALSE))</f>
        <v>0</v>
      </c>
      <c r="F122" s="399">
        <f>IF($D122="",0,VLOOKUP($D122,Trekkers!$A:$U,COLUMN(Trekkers!D$5),FALSE))</f>
        <v>0</v>
      </c>
      <c r="G122" s="399">
        <f>IF($D122="",0,VLOOKUP($D122,Trekkers!$A:$U,COLUMN(Trekkers!E$5),FALSE))</f>
        <v>0</v>
      </c>
      <c r="H122" s="815"/>
      <c r="I122" s="398"/>
      <c r="J122" s="400">
        <f>IF($I122=0,0,VLOOKUP($I122,'Implemente &amp; Waens'!$A:$Z,COLUMN('Implemente &amp; Waens'!C$5),FALSE))</f>
        <v>0</v>
      </c>
      <c r="K122" s="728"/>
      <c r="L122" s="729"/>
      <c r="M122" s="439"/>
      <c r="N122" s="429"/>
      <c r="O122" s="401"/>
      <c r="P122" s="915">
        <f t="shared" si="237"/>
        <v>0</v>
      </c>
      <c r="Q122" s="915">
        <f t="shared" si="238"/>
        <v>0</v>
      </c>
      <c r="R122" s="915">
        <f t="shared" si="239"/>
        <v>0</v>
      </c>
      <c r="S122" s="923">
        <f t="shared" si="240"/>
        <v>0</v>
      </c>
      <c r="T122" s="917">
        <f t="shared" si="260"/>
        <v>0</v>
      </c>
      <c r="U122" s="919">
        <f t="shared" si="261"/>
        <v>0</v>
      </c>
      <c r="V122" s="923">
        <f t="shared" si="243"/>
        <v>0</v>
      </c>
      <c r="X122" s="404">
        <f t="shared" si="247"/>
        <v>0</v>
      </c>
      <c r="Y122" s="405">
        <f t="shared" si="248"/>
        <v>0</v>
      </c>
      <c r="Z122" s="407">
        <f t="shared" si="248"/>
        <v>0</v>
      </c>
      <c r="AA122" s="404">
        <f t="shared" si="249"/>
        <v>0</v>
      </c>
      <c r="AB122" s="405">
        <f t="shared" si="250"/>
        <v>0</v>
      </c>
      <c r="AC122" s="407">
        <f t="shared" si="250"/>
        <v>0</v>
      </c>
      <c r="AD122" s="408">
        <f t="shared" si="228"/>
        <v>0</v>
      </c>
      <c r="AE122" s="409">
        <f t="shared" si="251"/>
        <v>0</v>
      </c>
      <c r="AF122" s="410">
        <f t="shared" si="223"/>
        <v>0</v>
      </c>
      <c r="AG122" s="411">
        <f t="shared" si="229"/>
        <v>0</v>
      </c>
      <c r="AH122" s="412">
        <f t="shared" si="252"/>
        <v>0</v>
      </c>
      <c r="AJ122" s="765">
        <v>1</v>
      </c>
      <c r="AL122" s="413">
        <f t="shared" si="230"/>
        <v>0</v>
      </c>
      <c r="AM122" s="414">
        <f t="shared" si="231"/>
        <v>0</v>
      </c>
      <c r="AN122" s="414">
        <f t="shared" si="232"/>
        <v>0</v>
      </c>
      <c r="AO122" s="414">
        <f t="shared" si="233"/>
        <v>0</v>
      </c>
      <c r="AP122" s="415">
        <f t="shared" si="244"/>
        <v>0</v>
      </c>
      <c r="AQ122" s="414">
        <f t="shared" si="234"/>
        <v>0</v>
      </c>
      <c r="AR122" s="414">
        <f t="shared" si="235"/>
        <v>0</v>
      </c>
      <c r="AS122" s="414">
        <f t="shared" si="236"/>
        <v>0</v>
      </c>
      <c r="AT122" s="415">
        <f t="shared" si="245"/>
        <v>0</v>
      </c>
      <c r="AU122" s="416">
        <f t="shared" si="246"/>
        <v>0</v>
      </c>
      <c r="AV122" s="417"/>
      <c r="AW122" s="418">
        <f t="shared" si="224"/>
        <v>0</v>
      </c>
      <c r="AX122" s="413">
        <f>IF(D122="",0,E122*VLOOKUP(H122,Trekkers!$E$141:$L$143,COLUMNS(Trekkers!$E$141:$L$141),FALSE)*AJ122)</f>
        <v>0</v>
      </c>
      <c r="AY122" s="414">
        <f t="shared" si="253"/>
        <v>0</v>
      </c>
      <c r="AZ122" s="414">
        <f>IF(D122="",0,VLOOKUP($D122,Trekkers!$A:$V,COLUMN(Trekkers!$K$5),FALSE))</f>
        <v>0</v>
      </c>
      <c r="BA122" s="414">
        <f>0</f>
        <v>0</v>
      </c>
      <c r="BB122" s="415">
        <f t="shared" si="254"/>
        <v>0</v>
      </c>
      <c r="BC122" s="414">
        <f>IF($D122="",0,VLOOKUP($D122,Trekkers!$A:$V,COLUMN(Trekkers!$G$5),FALSE)*$E$9/100)</f>
        <v>0</v>
      </c>
      <c r="BD122" s="414">
        <f>IF($D122="",0,VLOOKUP($D122,Trekkers!$A:$V,COLUMN(Trekkers!$H$5),FALSE))</f>
        <v>0</v>
      </c>
      <c r="BE122" s="414">
        <f>IF($D122="",0,VLOOKUP($D122,Trekkers!$A:$V,COLUMN(Trekkers!$I$5),FALSE)/$G$8*$E$8)</f>
        <v>0</v>
      </c>
      <c r="BF122" s="415">
        <f t="shared" si="255"/>
        <v>0</v>
      </c>
      <c r="BG122" s="416">
        <f t="shared" si="256"/>
        <v>0</v>
      </c>
      <c r="BH122" s="417"/>
      <c r="BI122" s="418">
        <f t="shared" si="226"/>
        <v>0</v>
      </c>
      <c r="BJ122" s="414">
        <f>IF($I122=0,0,VLOOKUP($I122,'Implemente &amp; Waens'!$A:$Z,COLUMN('Implemente &amp; Waens'!M$5),FALSE))</f>
        <v>0</v>
      </c>
      <c r="BK122" s="414">
        <f>IF($I122=0,0,VLOOKUP($I122,'Implemente &amp; Waens'!$A:$Z,COLUMN('Implemente &amp; Waens'!N$5),FALSE))</f>
        <v>0</v>
      </c>
      <c r="BL122" s="415">
        <f t="shared" si="257"/>
        <v>0</v>
      </c>
      <c r="BM122" s="414">
        <f>IF($I122=0,0,VLOOKUP($I122,'Implemente &amp; Waens'!$A:$Z,COLUMN('Implemente &amp; Waens'!I$5),FALSE)*$E$9/100)</f>
        <v>0</v>
      </c>
      <c r="BN122" s="414">
        <f>IF($I122=0,0,VLOOKUP($I122,'Implemente &amp; Waens'!$A:$Z,COLUMN('Implemente &amp; Waens'!J$5),FALSE))</f>
        <v>0</v>
      </c>
      <c r="BO122" s="414">
        <f>IF($I122=0,0,VLOOKUP($I122,'Implemente &amp; Waens'!$A:$Z,COLUMN('Implemente &amp; Waens'!K$5),FALSE)/$G$8*$E$8)</f>
        <v>0</v>
      </c>
      <c r="BP122" s="415">
        <f t="shared" si="258"/>
        <v>0</v>
      </c>
      <c r="BQ122" s="416">
        <f t="shared" si="259"/>
        <v>0</v>
      </c>
    </row>
    <row r="123" spans="2:69">
      <c r="B123" s="427"/>
      <c r="C123" s="731"/>
      <c r="D123" s="398"/>
      <c r="E123" s="399">
        <f>IF($D123="",0,VLOOKUP($D123,Trekkers!$A:$U,COLUMN(Trekkers!C$5),FALSE))</f>
        <v>0</v>
      </c>
      <c r="F123" s="399">
        <f>IF($D123="",0,VLOOKUP($D123,Trekkers!$A:$U,COLUMN(Trekkers!D$5),FALSE))</f>
        <v>0</v>
      </c>
      <c r="G123" s="399">
        <f>IF($D123="",0,VLOOKUP($D123,Trekkers!$A:$U,COLUMN(Trekkers!E$5),FALSE))</f>
        <v>0</v>
      </c>
      <c r="H123" s="815"/>
      <c r="I123" s="398"/>
      <c r="J123" s="400">
        <f>IF($I123=0,0,VLOOKUP($I123,'Implemente &amp; Waens'!$A:$Z,COLUMN('Implemente &amp; Waens'!C$5),FALSE))</f>
        <v>0</v>
      </c>
      <c r="K123" s="728"/>
      <c r="L123" s="729"/>
      <c r="M123" s="439"/>
      <c r="N123" s="429"/>
      <c r="O123" s="401"/>
      <c r="P123" s="915">
        <f t="shared" si="237"/>
        <v>0</v>
      </c>
      <c r="Q123" s="915">
        <f t="shared" si="238"/>
        <v>0</v>
      </c>
      <c r="R123" s="915">
        <f t="shared" si="239"/>
        <v>0</v>
      </c>
      <c r="S123" s="923">
        <f t="shared" si="240"/>
        <v>0</v>
      </c>
      <c r="T123" s="917">
        <f t="shared" si="260"/>
        <v>0</v>
      </c>
      <c r="U123" s="919">
        <f t="shared" si="261"/>
        <v>0</v>
      </c>
      <c r="V123" s="923">
        <f t="shared" si="243"/>
        <v>0</v>
      </c>
      <c r="X123" s="404">
        <f t="shared" si="247"/>
        <v>0</v>
      </c>
      <c r="Y123" s="405">
        <f t="shared" si="248"/>
        <v>0</v>
      </c>
      <c r="Z123" s="407">
        <f t="shared" si="248"/>
        <v>0</v>
      </c>
      <c r="AA123" s="404">
        <f t="shared" si="249"/>
        <v>0</v>
      </c>
      <c r="AB123" s="405">
        <f t="shared" si="250"/>
        <v>0</v>
      </c>
      <c r="AC123" s="407">
        <f t="shared" si="250"/>
        <v>0</v>
      </c>
      <c r="AD123" s="408">
        <f t="shared" si="228"/>
        <v>0</v>
      </c>
      <c r="AE123" s="409">
        <f t="shared" si="251"/>
        <v>0</v>
      </c>
      <c r="AF123" s="410">
        <f t="shared" si="223"/>
        <v>0</v>
      </c>
      <c r="AG123" s="411">
        <f t="shared" si="229"/>
        <v>0</v>
      </c>
      <c r="AH123" s="412">
        <f t="shared" si="252"/>
        <v>0</v>
      </c>
      <c r="AJ123" s="765">
        <v>1</v>
      </c>
      <c r="AL123" s="413">
        <f t="shared" si="230"/>
        <v>0</v>
      </c>
      <c r="AM123" s="414">
        <f t="shared" si="231"/>
        <v>0</v>
      </c>
      <c r="AN123" s="414">
        <f t="shared" si="232"/>
        <v>0</v>
      </c>
      <c r="AO123" s="414">
        <f t="shared" si="233"/>
        <v>0</v>
      </c>
      <c r="AP123" s="415">
        <f t="shared" si="244"/>
        <v>0</v>
      </c>
      <c r="AQ123" s="414">
        <f t="shared" si="234"/>
        <v>0</v>
      </c>
      <c r="AR123" s="414">
        <f t="shared" si="235"/>
        <v>0</v>
      </c>
      <c r="AS123" s="414">
        <f t="shared" si="236"/>
        <v>0</v>
      </c>
      <c r="AT123" s="415">
        <f t="shared" si="245"/>
        <v>0</v>
      </c>
      <c r="AU123" s="416">
        <f t="shared" si="246"/>
        <v>0</v>
      </c>
      <c r="AV123" s="417"/>
      <c r="AW123" s="418">
        <f t="shared" si="224"/>
        <v>0</v>
      </c>
      <c r="AX123" s="413">
        <f>IF(D123="",0,E123*VLOOKUP(H123,Trekkers!$E$141:$L$143,COLUMNS(Trekkers!$E$141:$L$141),FALSE)*AJ123)</f>
        <v>0</v>
      </c>
      <c r="AY123" s="414">
        <f t="shared" si="253"/>
        <v>0</v>
      </c>
      <c r="AZ123" s="414">
        <f>IF(D123="",0,VLOOKUP($D123,Trekkers!$A:$V,COLUMN(Trekkers!$K$5),FALSE))</f>
        <v>0</v>
      </c>
      <c r="BA123" s="414">
        <f>0</f>
        <v>0</v>
      </c>
      <c r="BB123" s="415">
        <f t="shared" si="254"/>
        <v>0</v>
      </c>
      <c r="BC123" s="414">
        <f>IF($D123="",0,VLOOKUP($D123,Trekkers!$A:$V,COLUMN(Trekkers!$G$5),FALSE)*$E$9/100)</f>
        <v>0</v>
      </c>
      <c r="BD123" s="414">
        <f>IF($D123="",0,VLOOKUP($D123,Trekkers!$A:$V,COLUMN(Trekkers!$H$5),FALSE))</f>
        <v>0</v>
      </c>
      <c r="BE123" s="414">
        <f>IF($D123="",0,VLOOKUP($D123,Trekkers!$A:$V,COLUMN(Trekkers!$I$5),FALSE)/$G$8*$E$8)</f>
        <v>0</v>
      </c>
      <c r="BF123" s="415">
        <f t="shared" si="255"/>
        <v>0</v>
      </c>
      <c r="BG123" s="416">
        <f t="shared" si="256"/>
        <v>0</v>
      </c>
      <c r="BH123" s="417"/>
      <c r="BI123" s="418">
        <f t="shared" si="226"/>
        <v>0</v>
      </c>
      <c r="BJ123" s="414">
        <f>IF($I123=0,0,VLOOKUP($I123,'Implemente &amp; Waens'!$A:$Z,COLUMN('Implemente &amp; Waens'!M$5),FALSE))</f>
        <v>0</v>
      </c>
      <c r="BK123" s="414">
        <f>IF($I123=0,0,VLOOKUP($I123,'Implemente &amp; Waens'!$A:$Z,COLUMN('Implemente &amp; Waens'!N$5),FALSE))</f>
        <v>0</v>
      </c>
      <c r="BL123" s="415">
        <f t="shared" si="257"/>
        <v>0</v>
      </c>
      <c r="BM123" s="414">
        <f>IF($I123=0,0,VLOOKUP($I123,'Implemente &amp; Waens'!$A:$Z,COLUMN('Implemente &amp; Waens'!I$5),FALSE)*$E$9/100)</f>
        <v>0</v>
      </c>
      <c r="BN123" s="414">
        <f>IF($I123=0,0,VLOOKUP($I123,'Implemente &amp; Waens'!$A:$Z,COLUMN('Implemente &amp; Waens'!J$5),FALSE))</f>
        <v>0</v>
      </c>
      <c r="BO123" s="414">
        <f>IF($I123=0,0,VLOOKUP($I123,'Implemente &amp; Waens'!$A:$Z,COLUMN('Implemente &amp; Waens'!K$5),FALSE)/$G$8*$E$8)</f>
        <v>0</v>
      </c>
      <c r="BP123" s="415">
        <f t="shared" si="258"/>
        <v>0</v>
      </c>
      <c r="BQ123" s="416">
        <f t="shared" si="259"/>
        <v>0</v>
      </c>
    </row>
    <row r="124" spans="2:69">
      <c r="B124" s="427"/>
      <c r="C124" s="731"/>
      <c r="D124" s="398"/>
      <c r="E124" s="399">
        <f>IF($D124="",0,VLOOKUP($D124,Trekkers!$A:$U,COLUMN(Trekkers!C$5),FALSE))</f>
        <v>0</v>
      </c>
      <c r="F124" s="399">
        <f>IF($D124="",0,VLOOKUP($D124,Trekkers!$A:$U,COLUMN(Trekkers!D$5),FALSE))</f>
        <v>0</v>
      </c>
      <c r="G124" s="399">
        <f>IF($D124="",0,VLOOKUP($D124,Trekkers!$A:$U,COLUMN(Trekkers!E$5),FALSE))</f>
        <v>0</v>
      </c>
      <c r="H124" s="815"/>
      <c r="I124" s="398"/>
      <c r="J124" s="400">
        <f>IF($I124=0,0,VLOOKUP($I124,'Implemente &amp; Waens'!$A:$Z,COLUMN('Implemente &amp; Waens'!C$5),FALSE))</f>
        <v>0</v>
      </c>
      <c r="K124" s="728"/>
      <c r="L124" s="729"/>
      <c r="M124" s="439"/>
      <c r="N124" s="429"/>
      <c r="O124" s="401"/>
      <c r="P124" s="915">
        <f t="shared" si="237"/>
        <v>0</v>
      </c>
      <c r="Q124" s="915">
        <f t="shared" si="238"/>
        <v>0</v>
      </c>
      <c r="R124" s="915">
        <f t="shared" si="239"/>
        <v>0</v>
      </c>
      <c r="S124" s="923">
        <f t="shared" si="240"/>
        <v>0</v>
      </c>
      <c r="T124" s="917">
        <f t="shared" si="260"/>
        <v>0</v>
      </c>
      <c r="U124" s="919">
        <f t="shared" si="261"/>
        <v>0</v>
      </c>
      <c r="V124" s="923">
        <f t="shared" si="243"/>
        <v>0</v>
      </c>
      <c r="X124" s="404">
        <f t="shared" si="247"/>
        <v>0</v>
      </c>
      <c r="Y124" s="405">
        <f t="shared" si="248"/>
        <v>0</v>
      </c>
      <c r="Z124" s="407">
        <f t="shared" si="248"/>
        <v>0</v>
      </c>
      <c r="AA124" s="404">
        <f t="shared" si="249"/>
        <v>0</v>
      </c>
      <c r="AB124" s="405">
        <f t="shared" si="250"/>
        <v>0</v>
      </c>
      <c r="AC124" s="407">
        <f t="shared" si="250"/>
        <v>0</v>
      </c>
      <c r="AD124" s="408">
        <f t="shared" si="228"/>
        <v>0</v>
      </c>
      <c r="AE124" s="409">
        <f t="shared" si="251"/>
        <v>0</v>
      </c>
      <c r="AF124" s="410">
        <f t="shared" si="223"/>
        <v>0</v>
      </c>
      <c r="AG124" s="411">
        <f t="shared" si="229"/>
        <v>0</v>
      </c>
      <c r="AH124" s="412">
        <f t="shared" si="252"/>
        <v>0</v>
      </c>
      <c r="AJ124" s="765">
        <v>1</v>
      </c>
      <c r="AL124" s="413">
        <f t="shared" si="230"/>
        <v>0</v>
      </c>
      <c r="AM124" s="414">
        <f t="shared" si="231"/>
        <v>0</v>
      </c>
      <c r="AN124" s="414">
        <f t="shared" si="232"/>
        <v>0</v>
      </c>
      <c r="AO124" s="414">
        <f t="shared" si="233"/>
        <v>0</v>
      </c>
      <c r="AP124" s="415">
        <f t="shared" si="244"/>
        <v>0</v>
      </c>
      <c r="AQ124" s="414">
        <f t="shared" si="234"/>
        <v>0</v>
      </c>
      <c r="AR124" s="414">
        <f t="shared" si="235"/>
        <v>0</v>
      </c>
      <c r="AS124" s="414">
        <f t="shared" si="236"/>
        <v>0</v>
      </c>
      <c r="AT124" s="415">
        <f t="shared" si="245"/>
        <v>0</v>
      </c>
      <c r="AU124" s="416">
        <f t="shared" si="246"/>
        <v>0</v>
      </c>
      <c r="AV124" s="417"/>
      <c r="AW124" s="418">
        <f t="shared" si="224"/>
        <v>0</v>
      </c>
      <c r="AX124" s="413">
        <f>IF(D124="",0,E124*VLOOKUP(H124,Trekkers!$E$141:$L$143,COLUMNS(Trekkers!$E$141:$L$141),FALSE)*AJ124)</f>
        <v>0</v>
      </c>
      <c r="AY124" s="414">
        <f t="shared" si="253"/>
        <v>0</v>
      </c>
      <c r="AZ124" s="414">
        <f>IF(D124="",0,VLOOKUP($D124,Trekkers!$A:$V,COLUMN(Trekkers!$K$5),FALSE))</f>
        <v>0</v>
      </c>
      <c r="BA124" s="414">
        <f>0</f>
        <v>0</v>
      </c>
      <c r="BB124" s="415">
        <f t="shared" si="254"/>
        <v>0</v>
      </c>
      <c r="BC124" s="414">
        <f>IF($D124="",0,VLOOKUP($D124,Trekkers!$A:$V,COLUMN(Trekkers!$G$5),FALSE)*$E$9/100)</f>
        <v>0</v>
      </c>
      <c r="BD124" s="414">
        <f>IF($D124="",0,VLOOKUP($D124,Trekkers!$A:$V,COLUMN(Trekkers!$H$5),FALSE))</f>
        <v>0</v>
      </c>
      <c r="BE124" s="414">
        <f>IF($D124="",0,VLOOKUP($D124,Trekkers!$A:$V,COLUMN(Trekkers!$I$5),FALSE)/$G$8*$E$8)</f>
        <v>0</v>
      </c>
      <c r="BF124" s="415">
        <f t="shared" si="255"/>
        <v>0</v>
      </c>
      <c r="BG124" s="416">
        <f t="shared" si="256"/>
        <v>0</v>
      </c>
      <c r="BH124" s="417"/>
      <c r="BI124" s="418">
        <f t="shared" si="226"/>
        <v>0</v>
      </c>
      <c r="BJ124" s="414">
        <f>IF($I124=0,0,VLOOKUP($I124,'Implemente &amp; Waens'!$A:$Z,COLUMN('Implemente &amp; Waens'!M$5),FALSE))</f>
        <v>0</v>
      </c>
      <c r="BK124" s="414">
        <f>IF($I124=0,0,VLOOKUP($I124,'Implemente &amp; Waens'!$A:$Z,COLUMN('Implemente &amp; Waens'!N$5),FALSE))</f>
        <v>0</v>
      </c>
      <c r="BL124" s="415">
        <f t="shared" si="257"/>
        <v>0</v>
      </c>
      <c r="BM124" s="414">
        <f>IF($I124=0,0,VLOOKUP($I124,'Implemente &amp; Waens'!$A:$Z,COLUMN('Implemente &amp; Waens'!I$5),FALSE)*$E$9/100)</f>
        <v>0</v>
      </c>
      <c r="BN124" s="414">
        <f>IF($I124=0,0,VLOOKUP($I124,'Implemente &amp; Waens'!$A:$Z,COLUMN('Implemente &amp; Waens'!J$5),FALSE))</f>
        <v>0</v>
      </c>
      <c r="BO124" s="414">
        <f>IF($I124=0,0,VLOOKUP($I124,'Implemente &amp; Waens'!$A:$Z,COLUMN('Implemente &amp; Waens'!K$5),FALSE)/$G$8*$E$8)</f>
        <v>0</v>
      </c>
      <c r="BP124" s="415">
        <f t="shared" si="258"/>
        <v>0</v>
      </c>
      <c r="BQ124" s="416">
        <f t="shared" si="259"/>
        <v>0</v>
      </c>
    </row>
    <row r="125" spans="2:69">
      <c r="B125" s="427"/>
      <c r="C125" s="731"/>
      <c r="D125" s="398"/>
      <c r="E125" s="399">
        <f>IF($D125="",0,VLOOKUP($D125,Trekkers!$A:$U,COLUMN(Trekkers!C$5),FALSE))</f>
        <v>0</v>
      </c>
      <c r="F125" s="399">
        <f>IF($D125="",0,VLOOKUP($D125,Trekkers!$A:$U,COLUMN(Trekkers!D$5),FALSE))</f>
        <v>0</v>
      </c>
      <c r="G125" s="399">
        <f>IF($D125="",0,VLOOKUP($D125,Trekkers!$A:$U,COLUMN(Trekkers!E$5),FALSE))</f>
        <v>0</v>
      </c>
      <c r="H125" s="815"/>
      <c r="I125" s="398"/>
      <c r="J125" s="400">
        <f>IF($I125=0,0,VLOOKUP($I125,'Implemente &amp; Waens'!$A:$Z,COLUMN('Implemente &amp; Waens'!C$5),FALSE))</f>
        <v>0</v>
      </c>
      <c r="K125" s="728"/>
      <c r="L125" s="729"/>
      <c r="M125" s="439"/>
      <c r="N125" s="429"/>
      <c r="O125" s="401"/>
      <c r="P125" s="915">
        <f t="shared" si="237"/>
        <v>0</v>
      </c>
      <c r="Q125" s="915">
        <f t="shared" si="238"/>
        <v>0</v>
      </c>
      <c r="R125" s="915">
        <f t="shared" si="239"/>
        <v>0</v>
      </c>
      <c r="S125" s="923">
        <f t="shared" si="240"/>
        <v>0</v>
      </c>
      <c r="T125" s="917">
        <f t="shared" si="260"/>
        <v>0</v>
      </c>
      <c r="U125" s="919">
        <f t="shared" si="261"/>
        <v>0</v>
      </c>
      <c r="V125" s="923">
        <f t="shared" si="243"/>
        <v>0</v>
      </c>
      <c r="X125" s="404">
        <f t="shared" si="247"/>
        <v>0</v>
      </c>
      <c r="Y125" s="405">
        <f t="shared" si="248"/>
        <v>0</v>
      </c>
      <c r="Z125" s="407">
        <f t="shared" si="248"/>
        <v>0</v>
      </c>
      <c r="AA125" s="404">
        <f t="shared" si="249"/>
        <v>0</v>
      </c>
      <c r="AB125" s="405">
        <f t="shared" si="250"/>
        <v>0</v>
      </c>
      <c r="AC125" s="407">
        <f t="shared" si="250"/>
        <v>0</v>
      </c>
      <c r="AD125" s="408">
        <f t="shared" si="228"/>
        <v>0</v>
      </c>
      <c r="AE125" s="409">
        <f t="shared" si="251"/>
        <v>0</v>
      </c>
      <c r="AF125" s="410">
        <f t="shared" si="223"/>
        <v>0</v>
      </c>
      <c r="AG125" s="411">
        <f t="shared" si="229"/>
        <v>0</v>
      </c>
      <c r="AH125" s="412">
        <f t="shared" si="252"/>
        <v>0</v>
      </c>
      <c r="AJ125" s="765">
        <v>1</v>
      </c>
      <c r="AL125" s="413">
        <f t="shared" si="230"/>
        <v>0</v>
      </c>
      <c r="AM125" s="414">
        <f t="shared" si="231"/>
        <v>0</v>
      </c>
      <c r="AN125" s="414">
        <f t="shared" si="232"/>
        <v>0</v>
      </c>
      <c r="AO125" s="414">
        <f t="shared" si="233"/>
        <v>0</v>
      </c>
      <c r="AP125" s="415">
        <f t="shared" si="244"/>
        <v>0</v>
      </c>
      <c r="AQ125" s="414">
        <f t="shared" si="234"/>
        <v>0</v>
      </c>
      <c r="AR125" s="414">
        <f t="shared" si="235"/>
        <v>0</v>
      </c>
      <c r="AS125" s="414">
        <f t="shared" si="236"/>
        <v>0</v>
      </c>
      <c r="AT125" s="415">
        <f t="shared" si="245"/>
        <v>0</v>
      </c>
      <c r="AU125" s="416">
        <f t="shared" si="246"/>
        <v>0</v>
      </c>
      <c r="AV125" s="417"/>
      <c r="AW125" s="418">
        <f t="shared" si="224"/>
        <v>0</v>
      </c>
      <c r="AX125" s="413">
        <f>IF(D125="",0,E125*VLOOKUP(H125,Trekkers!$E$141:$L$143,COLUMNS(Trekkers!$E$141:$L$141),FALSE)*AJ125)</f>
        <v>0</v>
      </c>
      <c r="AY125" s="414">
        <f t="shared" si="253"/>
        <v>0</v>
      </c>
      <c r="AZ125" s="414">
        <f>IF(D125="",0,VLOOKUP($D125,Trekkers!$A:$V,COLUMN(Trekkers!$K$5),FALSE))</f>
        <v>0</v>
      </c>
      <c r="BA125" s="414">
        <f>0</f>
        <v>0</v>
      </c>
      <c r="BB125" s="415">
        <f t="shared" si="254"/>
        <v>0</v>
      </c>
      <c r="BC125" s="414">
        <f>IF($D125="",0,VLOOKUP($D125,Trekkers!$A:$V,COLUMN(Trekkers!$G$5),FALSE)*$E$9/100)</f>
        <v>0</v>
      </c>
      <c r="BD125" s="414">
        <f>IF($D125="",0,VLOOKUP($D125,Trekkers!$A:$V,COLUMN(Trekkers!$H$5),FALSE))</f>
        <v>0</v>
      </c>
      <c r="BE125" s="414">
        <f>IF($D125="",0,VLOOKUP($D125,Trekkers!$A:$V,COLUMN(Trekkers!$I$5),FALSE)/$G$8*$E$8)</f>
        <v>0</v>
      </c>
      <c r="BF125" s="415">
        <f t="shared" si="255"/>
        <v>0</v>
      </c>
      <c r="BG125" s="416">
        <f t="shared" si="256"/>
        <v>0</v>
      </c>
      <c r="BH125" s="417"/>
      <c r="BI125" s="418">
        <f t="shared" si="226"/>
        <v>0</v>
      </c>
      <c r="BJ125" s="414">
        <f>IF($I125=0,0,VLOOKUP($I125,'Implemente &amp; Waens'!$A:$Z,COLUMN('Implemente &amp; Waens'!M$5),FALSE))</f>
        <v>0</v>
      </c>
      <c r="BK125" s="414">
        <f>IF($I125=0,0,VLOOKUP($I125,'Implemente &amp; Waens'!$A:$Z,COLUMN('Implemente &amp; Waens'!N$5),FALSE))</f>
        <v>0</v>
      </c>
      <c r="BL125" s="415">
        <f t="shared" si="257"/>
        <v>0</v>
      </c>
      <c r="BM125" s="414">
        <f>IF($I125=0,0,VLOOKUP($I125,'Implemente &amp; Waens'!$A:$Z,COLUMN('Implemente &amp; Waens'!I$5),FALSE)*$E$9/100)</f>
        <v>0</v>
      </c>
      <c r="BN125" s="414">
        <f>IF($I125=0,0,VLOOKUP($I125,'Implemente &amp; Waens'!$A:$Z,COLUMN('Implemente &amp; Waens'!J$5),FALSE))</f>
        <v>0</v>
      </c>
      <c r="BO125" s="414">
        <f>IF($I125=0,0,VLOOKUP($I125,'Implemente &amp; Waens'!$A:$Z,COLUMN('Implemente &amp; Waens'!K$5),FALSE)/$G$8*$E$8)</f>
        <v>0</v>
      </c>
      <c r="BP125" s="415">
        <f t="shared" si="258"/>
        <v>0</v>
      </c>
      <c r="BQ125" s="416">
        <f t="shared" si="259"/>
        <v>0</v>
      </c>
    </row>
    <row r="126" spans="2:69">
      <c r="AL126" s="344" t="s">
        <v>220</v>
      </c>
      <c r="AX126" s="344" t="s">
        <v>220</v>
      </c>
      <c r="BJ126" s="344" t="s">
        <v>193</v>
      </c>
    </row>
    <row r="128" spans="2:69" ht="15.75">
      <c r="P128" s="312"/>
      <c r="Q128" s="312"/>
      <c r="R128" s="312"/>
      <c r="S128" s="925"/>
      <c r="T128" s="312"/>
      <c r="U128" s="312"/>
      <c r="V128" s="925"/>
      <c r="W128" s="312"/>
      <c r="AG128" s="312"/>
      <c r="AH128" s="312"/>
      <c r="AI128" s="312"/>
      <c r="AJ128" s="312"/>
      <c r="AK128" s="312"/>
      <c r="AL128" s="312"/>
      <c r="AM128" s="312"/>
      <c r="AN128" s="312"/>
      <c r="AO128" s="312"/>
      <c r="AP128" s="312"/>
      <c r="AQ128" s="312"/>
      <c r="AR128" s="312"/>
      <c r="AS128" s="312"/>
      <c r="AT128" s="312"/>
      <c r="AU128" s="312"/>
    </row>
    <row r="130" spans="2:69" ht="12.75" customHeight="1">
      <c r="D130" s="436"/>
      <c r="I130" s="436"/>
      <c r="L130" s="436"/>
      <c r="M130" s="436"/>
      <c r="N130" s="436"/>
      <c r="O130" s="436"/>
      <c r="P130" s="312"/>
      <c r="Q130" s="312"/>
      <c r="R130" s="312"/>
      <c r="S130" s="925"/>
      <c r="T130" s="312"/>
      <c r="U130" s="312"/>
      <c r="V130" s="925"/>
      <c r="W130" s="312"/>
      <c r="X130" s="436"/>
      <c r="Y130" s="436"/>
      <c r="Z130" s="436"/>
      <c r="AA130" s="436"/>
      <c r="AB130" s="436"/>
      <c r="AC130" s="436"/>
      <c r="AD130" s="436"/>
      <c r="AE130" s="436"/>
      <c r="AF130" s="437"/>
      <c r="AG130" s="312"/>
      <c r="AH130" s="312"/>
      <c r="AI130" s="312"/>
      <c r="AJ130" s="312"/>
      <c r="AK130" s="312"/>
      <c r="AL130" s="312"/>
      <c r="AM130" s="312"/>
      <c r="AN130" s="312"/>
      <c r="AO130" s="312"/>
      <c r="AP130" s="312"/>
      <c r="AQ130" s="312"/>
      <c r="AR130" s="312"/>
      <c r="AS130" s="312"/>
      <c r="AT130" s="312"/>
      <c r="AU130" s="312"/>
    </row>
    <row r="135" spans="2:69" s="344" customFormat="1">
      <c r="B135" s="356"/>
      <c r="D135" s="356"/>
      <c r="E135" s="356"/>
      <c r="F135" s="356"/>
      <c r="G135" s="356"/>
      <c r="H135" s="356"/>
      <c r="I135" s="356"/>
      <c r="K135" s="356"/>
      <c r="L135" s="356"/>
      <c r="M135" s="356"/>
      <c r="N135" s="356"/>
      <c r="O135" s="356"/>
      <c r="P135" s="356"/>
      <c r="Q135" s="356"/>
      <c r="R135" s="356"/>
      <c r="S135" s="374"/>
      <c r="T135" s="356"/>
      <c r="U135" s="356"/>
      <c r="V135" s="374"/>
      <c r="W135" s="356"/>
      <c r="X135" s="356"/>
      <c r="Y135" s="356"/>
      <c r="Z135" s="356"/>
      <c r="AA135" s="356"/>
      <c r="AB135" s="356"/>
      <c r="AC135" s="356"/>
      <c r="AD135" s="356"/>
      <c r="AE135" s="356"/>
      <c r="AF135" s="357"/>
      <c r="AG135" s="356"/>
      <c r="AH135" s="356"/>
      <c r="AI135" s="356"/>
      <c r="AJ135" s="356"/>
      <c r="AK135" s="356"/>
      <c r="AL135" s="356"/>
      <c r="AM135" s="356"/>
      <c r="AN135" s="356"/>
      <c r="AO135" s="356"/>
      <c r="AP135" s="356"/>
      <c r="AQ135" s="356"/>
      <c r="AR135" s="358"/>
      <c r="AS135" s="356"/>
      <c r="AT135" s="356"/>
      <c r="AU135" s="356"/>
      <c r="AV135" s="356"/>
      <c r="AW135" s="356"/>
      <c r="AX135" s="356"/>
      <c r="AY135" s="356"/>
      <c r="AZ135" s="356"/>
      <c r="BA135" s="356"/>
      <c r="BB135" s="356"/>
      <c r="BC135" s="358"/>
      <c r="BD135" s="356"/>
      <c r="BE135" s="356"/>
      <c r="BF135" s="356"/>
      <c r="BG135" s="356"/>
      <c r="BH135" s="356"/>
      <c r="BI135" s="356"/>
      <c r="BJ135" s="356"/>
      <c r="BK135" s="356"/>
      <c r="BL135" s="356"/>
      <c r="BM135" s="356"/>
      <c r="BN135" s="358"/>
      <c r="BO135" s="356"/>
      <c r="BP135" s="356"/>
      <c r="BQ135" s="356"/>
    </row>
    <row r="136" spans="2:69" s="344" customFormat="1">
      <c r="B136" s="356"/>
      <c r="D136" s="356"/>
      <c r="E136" s="356"/>
      <c r="F136" s="356"/>
      <c r="G136" s="356"/>
      <c r="H136" s="356"/>
      <c r="I136" s="356"/>
      <c r="K136" s="356"/>
      <c r="L136" s="356"/>
      <c r="M136" s="356"/>
      <c r="N136" s="356"/>
      <c r="O136" s="356"/>
      <c r="P136" s="356"/>
      <c r="Q136" s="356"/>
      <c r="R136" s="356"/>
      <c r="S136" s="374"/>
      <c r="T136" s="356"/>
      <c r="U136" s="356"/>
      <c r="V136" s="374"/>
      <c r="W136" s="356"/>
      <c r="X136" s="356"/>
      <c r="Y136" s="356"/>
      <c r="Z136" s="356"/>
      <c r="AA136" s="356"/>
      <c r="AB136" s="356"/>
      <c r="AC136" s="356"/>
      <c r="AD136" s="356"/>
      <c r="AE136" s="356"/>
      <c r="AF136" s="357"/>
      <c r="AG136" s="356"/>
      <c r="AH136" s="356"/>
      <c r="AI136" s="356"/>
      <c r="AJ136" s="356"/>
      <c r="AK136" s="356"/>
      <c r="AL136" s="356"/>
      <c r="AM136" s="356"/>
      <c r="AN136" s="356"/>
      <c r="AO136" s="356"/>
      <c r="AP136" s="356"/>
      <c r="AQ136" s="356"/>
      <c r="AR136" s="358"/>
      <c r="AS136" s="356"/>
      <c r="AT136" s="356"/>
      <c r="AU136" s="356"/>
      <c r="AV136" s="356"/>
      <c r="AW136" s="356"/>
      <c r="AX136" s="356"/>
      <c r="AY136" s="356"/>
      <c r="AZ136" s="356"/>
      <c r="BA136" s="356"/>
      <c r="BB136" s="356"/>
      <c r="BC136" s="358"/>
      <c r="BD136" s="356"/>
      <c r="BE136" s="356"/>
      <c r="BF136" s="356"/>
      <c r="BG136" s="356"/>
      <c r="BH136" s="356"/>
      <c r="BI136" s="356"/>
      <c r="BJ136" s="356"/>
      <c r="BK136" s="356"/>
      <c r="BL136" s="356"/>
      <c r="BM136" s="356"/>
      <c r="BN136" s="358"/>
      <c r="BO136" s="356"/>
      <c r="BP136" s="356"/>
      <c r="BQ136" s="356"/>
    </row>
    <row r="137" spans="2:69" s="344" customFormat="1">
      <c r="B137" s="356"/>
      <c r="D137" s="356"/>
      <c r="E137" s="356"/>
      <c r="F137" s="356"/>
      <c r="G137" s="356"/>
      <c r="H137" s="356"/>
      <c r="I137" s="356"/>
      <c r="K137" s="356"/>
      <c r="L137" s="356"/>
      <c r="M137" s="356"/>
      <c r="N137" s="356"/>
      <c r="O137" s="356"/>
      <c r="P137" s="356"/>
      <c r="Q137" s="356"/>
      <c r="R137" s="356"/>
      <c r="S137" s="374"/>
      <c r="T137" s="356"/>
      <c r="U137" s="356"/>
      <c r="V137" s="374"/>
      <c r="W137" s="356"/>
      <c r="X137" s="356"/>
      <c r="Y137" s="356"/>
      <c r="Z137" s="356"/>
      <c r="AA137" s="356"/>
      <c r="AB137" s="356"/>
      <c r="AC137" s="356"/>
      <c r="AD137" s="356"/>
      <c r="AE137" s="356"/>
      <c r="AF137" s="357"/>
      <c r="AG137" s="356"/>
      <c r="AH137" s="356"/>
      <c r="AI137" s="356"/>
      <c r="AJ137" s="356"/>
      <c r="AK137" s="356"/>
      <c r="AL137" s="356"/>
      <c r="AM137" s="356"/>
      <c r="AN137" s="356"/>
      <c r="AO137" s="356"/>
      <c r="AP137" s="356"/>
      <c r="AQ137" s="356"/>
      <c r="AR137" s="358"/>
      <c r="AS137" s="356"/>
      <c r="AT137" s="356"/>
      <c r="AU137" s="356"/>
      <c r="AV137" s="356"/>
      <c r="AW137" s="356"/>
      <c r="AX137" s="356"/>
      <c r="AY137" s="356"/>
      <c r="AZ137" s="356"/>
      <c r="BA137" s="356"/>
      <c r="BB137" s="356"/>
      <c r="BC137" s="358"/>
      <c r="BD137" s="356"/>
      <c r="BE137" s="356"/>
      <c r="BF137" s="356"/>
      <c r="BG137" s="356"/>
      <c r="BH137" s="356"/>
      <c r="BI137" s="356"/>
      <c r="BJ137" s="356"/>
      <c r="BK137" s="356"/>
      <c r="BL137" s="356"/>
      <c r="BM137" s="356"/>
      <c r="BN137" s="358"/>
      <c r="BO137" s="356"/>
      <c r="BP137" s="356"/>
      <c r="BQ137" s="356"/>
    </row>
  </sheetData>
  <sheetProtection algorithmName="SHA-512" hashValue="ojx0XeHtxEf1VXWV12YWZS02UlNSMZCk9kzV0HFXWrEX6tK1GGCtEUBqJTXjzN7qfiUDD1VsF7RhrUWutHGI9Q==" saltValue="6Pp2K/7Y+9ojyCPX+vwgLg==" spinCount="100000" sheet="1" objects="1" sort="0" autoFilter="0" pivotTables="0"/>
  <mergeCells count="84">
    <mergeCell ref="BJ108:BL108"/>
    <mergeCell ref="BM108:BP108"/>
    <mergeCell ref="AL108:AP108"/>
    <mergeCell ref="AQ108:AT108"/>
    <mergeCell ref="AG108:AH108"/>
    <mergeCell ref="I108:J108"/>
    <mergeCell ref="K108:M108"/>
    <mergeCell ref="N108:O108"/>
    <mergeCell ref="AX108:BB108"/>
    <mergeCell ref="BC108:BF108"/>
    <mergeCell ref="AD108:AE108"/>
    <mergeCell ref="AA108:AC108"/>
    <mergeCell ref="X108:Z108"/>
    <mergeCell ref="P108:U108"/>
    <mergeCell ref="E100:G100"/>
    <mergeCell ref="E101:G101"/>
    <mergeCell ref="E102:G102"/>
    <mergeCell ref="E103:G103"/>
    <mergeCell ref="D108:H108"/>
    <mergeCell ref="E98:G98"/>
    <mergeCell ref="E99:G99"/>
    <mergeCell ref="E96:G96"/>
    <mergeCell ref="AD92:AE92"/>
    <mergeCell ref="AG92:AH92"/>
    <mergeCell ref="E93:G93"/>
    <mergeCell ref="E94:G94"/>
    <mergeCell ref="E95:G95"/>
    <mergeCell ref="BJ92:BL92"/>
    <mergeCell ref="BM92:BP92"/>
    <mergeCell ref="AX92:BB92"/>
    <mergeCell ref="BC92:BF92"/>
    <mergeCell ref="E97:G97"/>
    <mergeCell ref="AL92:AP92"/>
    <mergeCell ref="AQ92:AT92"/>
    <mergeCell ref="BJ76:BL76"/>
    <mergeCell ref="X76:Z76"/>
    <mergeCell ref="BM76:BP76"/>
    <mergeCell ref="D92:G92"/>
    <mergeCell ref="I92:J92"/>
    <mergeCell ref="K92:M92"/>
    <mergeCell ref="N92:O92"/>
    <mergeCell ref="P92:U92"/>
    <mergeCell ref="X92:Z92"/>
    <mergeCell ref="AA92:AC92"/>
    <mergeCell ref="AA76:AC76"/>
    <mergeCell ref="AD76:AE76"/>
    <mergeCell ref="AG76:AH76"/>
    <mergeCell ref="AL76:AP76"/>
    <mergeCell ref="AQ76:AT76"/>
    <mergeCell ref="AX76:BB76"/>
    <mergeCell ref="BJ62:BL62"/>
    <mergeCell ref="BM62:BP62"/>
    <mergeCell ref="BJ13:BL13"/>
    <mergeCell ref="BM13:BP13"/>
    <mergeCell ref="D62:H62"/>
    <mergeCell ref="I62:J62"/>
    <mergeCell ref="K62:O62"/>
    <mergeCell ref="P62:U62"/>
    <mergeCell ref="X62:Z62"/>
    <mergeCell ref="AA62:AC62"/>
    <mergeCell ref="AD62:AE62"/>
    <mergeCell ref="AG62:AH62"/>
    <mergeCell ref="AD13:AE13"/>
    <mergeCell ref="AG13:AH13"/>
    <mergeCell ref="AL13:AP13"/>
    <mergeCell ref="AQ13:AT13"/>
    <mergeCell ref="AX13:BB13"/>
    <mergeCell ref="BC13:BF13"/>
    <mergeCell ref="D13:H13"/>
    <mergeCell ref="I13:J13"/>
    <mergeCell ref="K13:O13"/>
    <mergeCell ref="X13:Z13"/>
    <mergeCell ref="AA13:AC13"/>
    <mergeCell ref="P13:V13"/>
    <mergeCell ref="D76:H76"/>
    <mergeCell ref="AL62:AP62"/>
    <mergeCell ref="AQ62:AT62"/>
    <mergeCell ref="AX62:BB62"/>
    <mergeCell ref="BC62:BF62"/>
    <mergeCell ref="BC76:BF76"/>
    <mergeCell ref="I76:J76"/>
    <mergeCell ref="K76:M76"/>
    <mergeCell ref="N76:O76"/>
    <mergeCell ref="P76:U76"/>
  </mergeCells>
  <pageMargins left="0.27559055118110237" right="0.19685039370078741" top="0.31496062992125984" bottom="0.55118110236220474" header="0.31496062992125984" footer="0.31496062992125984"/>
  <pageSetup paperSize="9" scale="65" fitToWidth="0" fitToHeight="0" pageOrder="overThenDown" orientation="landscape" errors="dash" r:id="rId1"/>
  <rowBreaks count="1" manualBreakCount="1">
    <brk id="59" min="1" max="22" man="1"/>
  </rowBreaks>
  <colBreaks count="1" manualBreakCount="1">
    <brk id="25" min="1" max="124"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28</vt:i4>
      </vt:variant>
    </vt:vector>
  </HeadingPairs>
  <TitlesOfParts>
    <vt:vector size="37" baseType="lpstr">
      <vt:lpstr>Voor</vt:lpstr>
      <vt:lpstr>Inhoud</vt:lpstr>
      <vt:lpstr>Voorwrd</vt:lpstr>
      <vt:lpstr>Aannames</vt:lpstr>
      <vt:lpstr>Trekkers</vt:lpstr>
      <vt:lpstr>Self-Aangedrewe</vt:lpstr>
      <vt:lpstr>Implemente &amp; Waens</vt:lpstr>
      <vt:lpstr>Bakkies &amp; Vragmotors</vt:lpstr>
      <vt:lpstr>Werkblad (1)</vt:lpstr>
      <vt:lpstr>Diesel.Gebruik</vt:lpstr>
      <vt:lpstr>Diesel.Handel</vt:lpstr>
      <vt:lpstr>Diesel.Korting.Sent</vt:lpstr>
      <vt:lpstr>Diesel.NaKorting</vt:lpstr>
      <vt:lpstr>kWperPK</vt:lpstr>
      <vt:lpstr>MeterPerVoet</vt:lpstr>
      <vt:lpstr>Olie.20liter</vt:lpstr>
      <vt:lpstr>PKperKW</vt:lpstr>
      <vt:lpstr>Aannames!Print_Area</vt:lpstr>
      <vt:lpstr>'Bakkies &amp; Vragmotors'!Print_Area</vt:lpstr>
      <vt:lpstr>'Implemente &amp; Waens'!Print_Area</vt:lpstr>
      <vt:lpstr>Inhoud!Print_Area</vt:lpstr>
      <vt:lpstr>'Self-Aangedrewe'!Print_Area</vt:lpstr>
      <vt:lpstr>Trekkers!Print_Area</vt:lpstr>
      <vt:lpstr>Voor!Print_Area</vt:lpstr>
      <vt:lpstr>Voorwrd!Print_Area</vt:lpstr>
      <vt:lpstr>'Werkblad (1)'!Print_Area</vt:lpstr>
      <vt:lpstr>'Bakkies &amp; Vragmotors'!Print_Area_MI</vt:lpstr>
      <vt:lpstr>Print_Area_MI</vt:lpstr>
      <vt:lpstr>Aannames!Print_Titles</vt:lpstr>
      <vt:lpstr>'Bakkies &amp; Vragmotors'!Print_Titles</vt:lpstr>
      <vt:lpstr>'Implemente &amp; Waens'!Print_Titles</vt:lpstr>
      <vt:lpstr>'Self-Aangedrewe'!Print_Titles</vt:lpstr>
      <vt:lpstr>Trekkers!Print_Titles</vt:lpstr>
      <vt:lpstr>'Werkblad (1)'!Print_Titles</vt:lpstr>
      <vt:lpstr>Rente.Perc</vt:lpstr>
      <vt:lpstr>Skroot.Perc</vt:lpstr>
      <vt:lpstr>VoetperMeter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OA Masjinerie Gids</dc:title>
  <dc:creator>Lanboubesighede Wes-Kaap</dc:creator>
  <cp:lastModifiedBy>Pieter Burger (Kaap Agri Landbou Ekonoom)</cp:lastModifiedBy>
  <cp:lastPrinted>2017-05-03T10:26:47Z</cp:lastPrinted>
  <dcterms:created xsi:type="dcterms:W3CDTF">2006-02-13T14:47:27Z</dcterms:created>
  <dcterms:modified xsi:type="dcterms:W3CDTF">2017-05-03T10:53:14Z</dcterms:modified>
</cp:coreProperties>
</file>